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RG\Wydział_3\Plany rozwoju\FORMULARZE DO PR i SPR\2022\SPRAWOZDANIA\PSG\"/>
    </mc:Choice>
  </mc:AlternateContent>
  <bookViews>
    <workbookView xWindow="-105" yWindow="-105" windowWidth="23250" windowHeight="13170" tabRatio="598"/>
  </bookViews>
  <sheets>
    <sheet name="plan finansowy" sheetId="23195" r:id="rId1"/>
  </sheets>
  <externalReferences>
    <externalReference r:id="rId2"/>
  </externalReferences>
  <definedNames>
    <definedName name="_xlnm.Print_Area" localSheetId="0">'plan finansowy'!$M$385:$AC$412</definedName>
    <definedName name="Rok_ZPR">2022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3195" l="1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C150" i="23195"/>
  <c r="L142" i="23195"/>
  <c r="K142" i="23195"/>
  <c r="J142" i="23195"/>
  <c r="I142" i="23195"/>
  <c r="H142" i="23195"/>
  <c r="G142" i="23195"/>
  <c r="F142" i="23195"/>
  <c r="E142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 s="1"/>
  <c r="E126" i="23195" s="1"/>
  <c r="E163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D11" i="23195"/>
  <c r="D13" i="23195"/>
  <c r="B19" i="23195"/>
  <c r="C18" i="23195" s="1"/>
  <c r="E21" i="23195"/>
  <c r="F14" i="23195"/>
  <c r="F21" i="23195"/>
  <c r="G14" i="23195" s="1"/>
  <c r="G21" i="23195"/>
  <c r="H14" i="23195" s="1"/>
  <c r="H21" i="23195"/>
  <c r="I24" i="23195" s="1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29" i="23195"/>
  <c r="I27" i="23195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D56" i="23195"/>
  <c r="D57" i="23195" s="1"/>
  <c r="D58" i="23195"/>
  <c r="D61" i="23195" s="1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G69" i="23195"/>
  <c r="H69" i="23195"/>
  <c r="H330" i="23195" s="1"/>
  <c r="H531" i="23195" s="1"/>
  <c r="I69" i="23195"/>
  <c r="J69" i="23195"/>
  <c r="J330" i="23195" s="1"/>
  <c r="J531" i="23195" s="1"/>
  <c r="K69" i="23195"/>
  <c r="L69" i="23195"/>
  <c r="L330" i="23195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D116" i="23195"/>
  <c r="D117" i="23195" s="1"/>
  <c r="D118" i="23195" s="1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 s="1"/>
  <c r="I74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D119" i="23195"/>
  <c r="D127" i="23195"/>
  <c r="D128" i="23195" s="1"/>
  <c r="F127" i="23195"/>
  <c r="G127" i="23195"/>
  <c r="H127" i="23195"/>
  <c r="I127" i="23195"/>
  <c r="J127" i="23195"/>
  <c r="K127" i="23195"/>
  <c r="L127" i="23195"/>
  <c r="L126" i="23195" s="1"/>
  <c r="F133" i="23195"/>
  <c r="F132" i="23195"/>
  <c r="F131" i="23195"/>
  <c r="G133" i="23195"/>
  <c r="G132" i="23195" s="1"/>
  <c r="G131" i="23195"/>
  <c r="G126" i="23195" s="1"/>
  <c r="H124" i="23195" s="1"/>
  <c r="H133" i="23195"/>
  <c r="H132" i="23195"/>
  <c r="H131" i="23195"/>
  <c r="I133" i="23195"/>
  <c r="I132" i="23195" s="1"/>
  <c r="I131" i="23195" s="1"/>
  <c r="I126" i="23195" s="1"/>
  <c r="J133" i="23195"/>
  <c r="J132" i="23195"/>
  <c r="J131" i="23195"/>
  <c r="K133" i="23195"/>
  <c r="K132" i="23195" s="1"/>
  <c r="K131" i="23195" s="1"/>
  <c r="L133" i="23195"/>
  <c r="L132" i="23195"/>
  <c r="L131" i="23195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G220" i="23195" s="1"/>
  <c r="G232" i="23195" s="1"/>
  <c r="H197" i="23195"/>
  <c r="I197" i="23195"/>
  <c r="J197" i="23195"/>
  <c r="K197" i="23195"/>
  <c r="L197" i="23195"/>
  <c r="C198" i="23195"/>
  <c r="D198" i="23195"/>
  <c r="D199" i="23195" s="1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/>
  <c r="F220" i="23195" s="1"/>
  <c r="F212" i="23195"/>
  <c r="F231" i="23195"/>
  <c r="F232" i="23195" s="1"/>
  <c r="G203" i="23195"/>
  <c r="G202" i="23195"/>
  <c r="G201" i="23195" s="1"/>
  <c r="G212" i="23195"/>
  <c r="G231" i="23195"/>
  <c r="H203" i="23195"/>
  <c r="H202" i="23195" s="1"/>
  <c r="H201" i="23195" s="1"/>
  <c r="H220" i="23195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G265" i="23195" s="1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L280" i="23195" s="1"/>
  <c r="L56" i="23195" s="1"/>
  <c r="L326" i="23195" s="1"/>
  <c r="L460" i="23195" s="1"/>
  <c r="L459" i="23195" s="1"/>
  <c r="F273" i="23195"/>
  <c r="G273" i="23195"/>
  <c r="G280" i="23195" s="1"/>
  <c r="G56" i="23195" s="1"/>
  <c r="H273" i="23195"/>
  <c r="I273" i="23195"/>
  <c r="J273" i="23195"/>
  <c r="K273" i="23195"/>
  <c r="L273" i="23195"/>
  <c r="F274" i="23195"/>
  <c r="G274" i="23195"/>
  <c r="H274" i="23195"/>
  <c r="I274" i="23195"/>
  <c r="J274" i="23195"/>
  <c r="J280" i="23195" s="1"/>
  <c r="J56" i="23195" s="1"/>
  <c r="J326" i="23195" s="1"/>
  <c r="J460" i="23195" s="1"/>
  <c r="J459" i="23195" s="1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/>
  <c r="H299" i="23195"/>
  <c r="H152" i="23195" s="1"/>
  <c r="I299" i="23195"/>
  <c r="I152" i="23195" s="1"/>
  <c r="J299" i="23195"/>
  <c r="J152" i="23195"/>
  <c r="K299" i="23195"/>
  <c r="K152" i="23195" s="1"/>
  <c r="L299" i="23195"/>
  <c r="L152" i="23195" s="1"/>
  <c r="E306" i="23195"/>
  <c r="F306" i="23195"/>
  <c r="E312" i="23195"/>
  <c r="E439" i="23195" s="1"/>
  <c r="E438" i="23195" s="1"/>
  <c r="E434" i="23195" s="1"/>
  <c r="E313" i="23195"/>
  <c r="E360" i="23195" s="1"/>
  <c r="E359" i="23195" s="1"/>
  <c r="F313" i="23195"/>
  <c r="F360" i="23195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/>
  <c r="K313" i="23195"/>
  <c r="K360" i="23195" s="1"/>
  <c r="L313" i="23195"/>
  <c r="L360" i="23195"/>
  <c r="L359" i="23195" s="1"/>
  <c r="E320" i="23195"/>
  <c r="E321" i="23195"/>
  <c r="E322" i="23195"/>
  <c r="E318" i="23195" s="1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18" i="23195" s="1"/>
  <c r="K516" i="23195" s="1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/>
  <c r="I341" i="23195"/>
  <c r="I338" i="23195" s="1"/>
  <c r="J341" i="23195"/>
  <c r="J338" i="23195"/>
  <c r="K341" i="23195"/>
  <c r="K338" i="23195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/>
  <c r="E399" i="23195"/>
  <c r="F389" i="23195"/>
  <c r="F388" i="23195"/>
  <c r="F399" i="23195"/>
  <c r="G389" i="23195"/>
  <c r="G388" i="23195"/>
  <c r="G386" i="23195" s="1"/>
  <c r="R386" i="23195" s="1"/>
  <c r="G399" i="23195"/>
  <c r="H389" i="23195"/>
  <c r="I389" i="23195"/>
  <c r="J389" i="23195"/>
  <c r="K389" i="23195"/>
  <c r="L389" i="23195"/>
  <c r="H399" i="23195"/>
  <c r="I399" i="23195"/>
  <c r="I386" i="23195" s="1"/>
  <c r="J399" i="23195"/>
  <c r="K399" i="23195"/>
  <c r="L399" i="23195"/>
  <c r="L386" i="23195" s="1"/>
  <c r="E405" i="23195"/>
  <c r="E410" i="23195"/>
  <c r="E403" i="23195"/>
  <c r="E55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/>
  <c r="V387" i="23195" s="1"/>
  <c r="J405" i="23195"/>
  <c r="J410" i="23195"/>
  <c r="J403" i="23195" s="1"/>
  <c r="K405" i="23195"/>
  <c r="K558" i="23195"/>
  <c r="K410" i="23195"/>
  <c r="K403" i="23195"/>
  <c r="K553" i="23195"/>
  <c r="L405" i="23195"/>
  <c r="L410" i="23195"/>
  <c r="L403" i="23195"/>
  <c r="AB387" i="23195" s="1"/>
  <c r="E417" i="23195"/>
  <c r="O388" i="23195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 s="1"/>
  <c r="F474" i="23195"/>
  <c r="F472" i="23195"/>
  <c r="F486" i="23195" s="1"/>
  <c r="G474" i="23195"/>
  <c r="G472" i="23195"/>
  <c r="G486" i="23195" s="1"/>
  <c r="H474" i="23195"/>
  <c r="H472" i="23195"/>
  <c r="H482" i="23195"/>
  <c r="H480" i="23195"/>
  <c r="I474" i="23195"/>
  <c r="I472" i="23195" s="1"/>
  <c r="I486" i="23195" s="1"/>
  <c r="J474" i="23195"/>
  <c r="J472" i="23195"/>
  <c r="J486" i="23195" s="1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F499" i="23195" s="1"/>
  <c r="G489" i="23195"/>
  <c r="H489" i="23195"/>
  <c r="I489" i="23195"/>
  <c r="J489" i="23195"/>
  <c r="K489" i="23195"/>
  <c r="L489" i="23195"/>
  <c r="L499" i="23195" s="1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I526" i="23195"/>
  <c r="J526" i="23195"/>
  <c r="E529" i="23195"/>
  <c r="G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I553" i="23195"/>
  <c r="R387" i="23195"/>
  <c r="N387" i="23195"/>
  <c r="L388" i="23195"/>
  <c r="J388" i="23195"/>
  <c r="J386" i="23195"/>
  <c r="H388" i="23195"/>
  <c r="H386" i="23195"/>
  <c r="J126" i="23195"/>
  <c r="H126" i="23195"/>
  <c r="D59" i="23195"/>
  <c r="D60" i="23195" s="1"/>
  <c r="D62" i="23195" s="1"/>
  <c r="D63" i="23195" s="1"/>
  <c r="D64" i="23195" s="1"/>
  <c r="D65" i="23195" s="1"/>
  <c r="D66" i="23195" s="1"/>
  <c r="D68" i="23195" s="1"/>
  <c r="D69" i="23195"/>
  <c r="D70" i="23195" s="1"/>
  <c r="D71" i="23195" s="1"/>
  <c r="D72" i="23195" s="1"/>
  <c r="D73" i="23195" s="1"/>
  <c r="D74" i="23195" s="1"/>
  <c r="K388" i="23195"/>
  <c r="K386" i="23195" s="1"/>
  <c r="I388" i="23195"/>
  <c r="K24" i="23195"/>
  <c r="G24" i="23195"/>
  <c r="H151" i="23195"/>
  <c r="E124" i="23195"/>
  <c r="I415" i="23195"/>
  <c r="I537" i="23195" s="1"/>
  <c r="AC388" i="23195"/>
  <c r="L539" i="23195"/>
  <c r="Y388" i="23195"/>
  <c r="J517" i="23195"/>
  <c r="J538" i="23195"/>
  <c r="J554" i="23195"/>
  <c r="F538" i="23195"/>
  <c r="F539" i="23195"/>
  <c r="F554" i="23195"/>
  <c r="L553" i="23195"/>
  <c r="H318" i="23195"/>
  <c r="H375" i="23195" s="1"/>
  <c r="G516" i="23195"/>
  <c r="E522" i="23195"/>
  <c r="K280" i="23195"/>
  <c r="K415" i="23195"/>
  <c r="J151" i="23195"/>
  <c r="J552" i="23195"/>
  <c r="L415" i="23195"/>
  <c r="L543" i="23195" s="1"/>
  <c r="Z387" i="23195"/>
  <c r="L486" i="23195"/>
  <c r="H486" i="23195"/>
  <c r="K375" i="23195"/>
  <c r="B122" i="23195"/>
  <c r="C121" i="23195" s="1"/>
  <c r="F386" i="23195"/>
  <c r="E386" i="23195"/>
  <c r="J27" i="23195"/>
  <c r="J32" i="23195"/>
  <c r="K32" i="23195"/>
  <c r="J31" i="23195"/>
  <c r="F27" i="23195"/>
  <c r="G32" i="23195"/>
  <c r="G30" i="23195" s="1"/>
  <c r="L27" i="23195"/>
  <c r="L32" i="23195"/>
  <c r="H27" i="23195"/>
  <c r="H32" i="23195"/>
  <c r="F31" i="23195"/>
  <c r="E27" i="23195"/>
  <c r="E280" i="23195"/>
  <c r="L544" i="23195"/>
  <c r="K544" i="23195"/>
  <c r="H515" i="23195"/>
  <c r="H528" i="23195"/>
  <c r="L74" i="23195"/>
  <c r="E281" i="23195"/>
  <c r="E56" i="23195"/>
  <c r="P386" i="23195"/>
  <c r="I281" i="23195"/>
  <c r="I518" i="23195"/>
  <c r="I542" i="23195"/>
  <c r="J325" i="23195"/>
  <c r="J530" i="23195" s="1"/>
  <c r="E78" i="23195"/>
  <c r="E326" i="23195"/>
  <c r="E460" i="23195" s="1"/>
  <c r="E459" i="23195" s="1"/>
  <c r="G78" i="23195"/>
  <c r="G415" i="23195"/>
  <c r="G552" i="23195"/>
  <c r="G551" i="23195"/>
  <c r="G543" i="23195"/>
  <c r="G518" i="23195"/>
  <c r="G544" i="23195"/>
  <c r="G537" i="23195"/>
  <c r="J30" i="23195" l="1"/>
  <c r="K30" i="23195"/>
  <c r="F30" i="23195"/>
  <c r="D77" i="23195"/>
  <c r="D78" i="23195" s="1"/>
  <c r="D79" i="23195" s="1"/>
  <c r="D75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L77" i="23195" s="1"/>
  <c r="L82" i="23195" s="1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K518" i="23195"/>
  <c r="K542" i="23195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29" i="23195"/>
  <c r="D131" i="23195"/>
  <c r="D133" i="23195" s="1"/>
  <c r="D134" i="23195" s="1"/>
  <c r="D135" i="23195" s="1"/>
  <c r="D136" i="23195" s="1"/>
  <c r="D137" i="23195" s="1"/>
  <c r="D138" i="23195" s="1"/>
  <c r="D141" i="23195" s="1"/>
  <c r="D142" i="23195" s="1"/>
  <c r="D143" i="23195" s="1"/>
  <c r="J74" i="23195"/>
  <c r="G542" i="23195"/>
  <c r="L325" i="23195"/>
  <c r="L530" i="23195" s="1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K543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537" i="23195"/>
  <c r="K376" i="23195"/>
  <c r="G151" i="23195"/>
  <c r="G527" i="23195"/>
  <c r="Z386" i="23195"/>
  <c r="Q388" i="23195"/>
  <c r="F517" i="23195"/>
  <c r="L554" i="23195"/>
  <c r="J320" i="23195"/>
  <c r="D201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H518" i="23195" l="1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D144" i="23195"/>
  <c r="D145" i="23195" s="1"/>
  <c r="D146" i="23195" s="1"/>
  <c r="D147" i="23195" s="1"/>
  <c r="D154" i="23195"/>
  <c r="D156" i="23195" s="1"/>
  <c r="D157" i="23195" s="1"/>
  <c r="D158" i="23195" s="1"/>
  <c r="D159" i="23195" s="1"/>
  <c r="D160" i="23195" s="1"/>
  <c r="D161" i="23195" s="1"/>
  <c r="D162" i="23195" s="1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/>
  <c r="G460" i="23195"/>
  <c r="G459" i="23195" s="1"/>
  <c r="G325" i="23195"/>
  <c r="H553" i="23195"/>
  <c r="T387" i="23195"/>
  <c r="E77" i="23195"/>
  <c r="E82" i="23195"/>
  <c r="D82" i="23195"/>
  <c r="D80" i="23195"/>
  <c r="D81" i="23195" s="1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D203" i="23195"/>
  <c r="D204" i="23195" s="1"/>
  <c r="D205" i="23195" s="1"/>
  <c r="D206" i="23195" s="1"/>
  <c r="D207" i="23195" s="1"/>
  <c r="D208" i="23195" s="1"/>
  <c r="D211" i="23195" s="1"/>
  <c r="D212" i="23195" s="1"/>
  <c r="D213" i="23195" s="1"/>
  <c r="D20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376" i="23195" l="1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D149" i="23195"/>
  <c r="D148" i="23195"/>
  <c r="D150" i="23195" s="1"/>
  <c r="G522" i="23195"/>
  <c r="G559" i="23195"/>
  <c r="G560" i="23195" s="1"/>
  <c r="G523" i="23195"/>
  <c r="G521" i="23195"/>
  <c r="D223" i="23195"/>
  <c r="D224" i="23195" s="1"/>
  <c r="D225" i="23195" s="1"/>
  <c r="D226" i="23195" s="1"/>
  <c r="D227" i="23195" s="1"/>
  <c r="D228" i="23195" s="1"/>
  <c r="D229" i="23195" s="1"/>
  <c r="D231" i="23195" s="1"/>
  <c r="D214" i="23195"/>
  <c r="D215" i="23195" s="1"/>
  <c r="D216" i="23195" s="1"/>
  <c r="D217" i="23195" s="1"/>
  <c r="D218" i="23195" s="1"/>
  <c r="D219" i="23195" s="1"/>
  <c r="D220" i="23195"/>
  <c r="D221" i="23195" s="1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<sst xmlns="http://schemas.openxmlformats.org/spreadsheetml/2006/main" count="523" uniqueCount="359">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</sst>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345144"/>
        <c:axId val="121477184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5144"/>
        <c:axId val="121477184"/>
      </c:lineChart>
      <c:catAx>
        <c:axId val="20934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214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77184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934514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2020</c:v>
                </c:pt>
                <c:pt idx="2">
                  <c:v>2021</c:v>
                </c:pt>
                <c:pt idx="4">
                  <c:v>2022</c:v>
                </c:pt>
                <c:pt idx="6">
                  <c:v>2023</c:v>
                </c:pt>
                <c:pt idx="8">
                  <c:v>2024</c:v>
                </c:pt>
                <c:pt idx="10">
                  <c:v>2025</c:v>
                </c:pt>
                <c:pt idx="12">
                  <c:v>2026</c:v>
                </c:pt>
                <c:pt idx="14">
                  <c:v>2027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2020</c:v>
                </c:pt>
                <c:pt idx="2">
                  <c:v>2021</c:v>
                </c:pt>
                <c:pt idx="4">
                  <c:v>2022</c:v>
                </c:pt>
                <c:pt idx="6">
                  <c:v>2023</c:v>
                </c:pt>
                <c:pt idx="8">
                  <c:v>2024</c:v>
                </c:pt>
                <c:pt idx="10">
                  <c:v>2025</c:v>
                </c:pt>
                <c:pt idx="12">
                  <c:v>2026</c:v>
                </c:pt>
                <c:pt idx="14">
                  <c:v>2027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2020</c:v>
                </c:pt>
                <c:pt idx="2">
                  <c:v>2021</c:v>
                </c:pt>
                <c:pt idx="4">
                  <c:v>2022</c:v>
                </c:pt>
                <c:pt idx="6">
                  <c:v>2023</c:v>
                </c:pt>
                <c:pt idx="8">
                  <c:v>2024</c:v>
                </c:pt>
                <c:pt idx="10">
                  <c:v>2025</c:v>
                </c:pt>
                <c:pt idx="12">
                  <c:v>2026</c:v>
                </c:pt>
                <c:pt idx="14">
                  <c:v>2027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2020</c:v>
                </c:pt>
                <c:pt idx="2">
                  <c:v>2021</c:v>
                </c:pt>
                <c:pt idx="4">
                  <c:v>2022</c:v>
                </c:pt>
                <c:pt idx="6">
                  <c:v>2023</c:v>
                </c:pt>
                <c:pt idx="8">
                  <c:v>2024</c:v>
                </c:pt>
                <c:pt idx="10">
                  <c:v>2025</c:v>
                </c:pt>
                <c:pt idx="12">
                  <c:v>2026</c:v>
                </c:pt>
                <c:pt idx="14">
                  <c:v>2027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1690528"/>
        <c:axId val="251294224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CAC-4AA8-B6F3-F2E0D346E24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2020</c:v>
                </c:pt>
                <c:pt idx="2">
                  <c:v>2021</c:v>
                </c:pt>
                <c:pt idx="4">
                  <c:v>2022</c:v>
                </c:pt>
                <c:pt idx="6">
                  <c:v>2023</c:v>
                </c:pt>
                <c:pt idx="8">
                  <c:v>2024</c:v>
                </c:pt>
                <c:pt idx="10">
                  <c:v>2025</c:v>
                </c:pt>
                <c:pt idx="12">
                  <c:v>2026</c:v>
                </c:pt>
                <c:pt idx="14">
                  <c:v>2027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0528"/>
        <c:axId val="251294224"/>
      </c:lineChart>
      <c:catAx>
        <c:axId val="251690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51294224"/>
        <c:crosses val="autoZero"/>
        <c:auto val="0"/>
        <c:lblAlgn val="ctr"/>
        <c:lblOffset val="100"/>
        <c:tickMarkSkip val="2"/>
        <c:noMultiLvlLbl val="0"/>
      </c:catAx>
      <c:valAx>
        <c:axId val="251294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51690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1420152"/>
        <c:axId val="251441240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20152"/>
        <c:axId val="251441240"/>
      </c:lineChart>
      <c:catAx>
        <c:axId val="25142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5144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441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51420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1442808"/>
        <c:axId val="251443200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46728"/>
        <c:axId val="251443984"/>
      </c:lineChart>
      <c:catAx>
        <c:axId val="251442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44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1443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442808"/>
        <c:crosses val="autoZero"/>
        <c:crossBetween val="between"/>
        <c:dispUnits>
          <c:builtInUnit val="thousands"/>
        </c:dispUnits>
      </c:valAx>
      <c:catAx>
        <c:axId val="25144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443984"/>
        <c:crosses val="autoZero"/>
        <c:auto val="0"/>
        <c:lblAlgn val="ctr"/>
        <c:lblOffset val="100"/>
        <c:noMultiLvlLbl val="0"/>
      </c:catAx>
      <c:valAx>
        <c:axId val="251443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446728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=""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=""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=""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=""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PLAN\2021\2021-02-09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1.0229999999999999</v>
          </cell>
        </row>
        <row r="36">
          <cell r="D36">
            <v>1.034</v>
          </cell>
        </row>
        <row r="37">
          <cell r="D37">
            <v>1.018</v>
          </cell>
        </row>
        <row r="38">
          <cell r="D38">
            <v>1.022</v>
          </cell>
        </row>
        <row r="39">
          <cell r="D39">
            <v>1.024</v>
          </cell>
        </row>
        <row r="40">
          <cell r="D40">
            <v>1.0249999999999999</v>
          </cell>
        </row>
        <row r="41">
          <cell r="D41">
            <v>1.048</v>
          </cell>
        </row>
        <row r="42">
          <cell r="D42">
            <v>1.0169999999999999</v>
          </cell>
        </row>
        <row r="43">
          <cell r="D43">
            <v>1.0149999999999999</v>
          </cell>
        </row>
        <row r="44">
          <cell r="D44">
            <v>1.0189999999999999</v>
          </cell>
        </row>
        <row r="45">
          <cell r="D45">
            <v>1.022</v>
          </cell>
        </row>
        <row r="46">
          <cell r="D46">
            <v>1.0269999999999999</v>
          </cell>
        </row>
        <row r="47">
          <cell r="D47">
            <v>1.0289999999999999</v>
          </cell>
        </row>
        <row r="48">
          <cell r="D48">
            <v>1.03</v>
          </cell>
        </row>
        <row r="49">
          <cell r="D49">
            <v>1.8599999999999998E-2</v>
          </cell>
        </row>
        <row r="50">
          <cell r="D50">
            <v>7.1999999999999998E-3</v>
          </cell>
        </row>
        <row r="51">
          <cell r="D51">
            <v>2.5000000000000001E-3</v>
          </cell>
        </row>
        <row r="52">
          <cell r="D52">
            <v>3.5000000000000001E-3</v>
          </cell>
        </row>
        <row r="53">
          <cell r="D53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topLeftCell="A586" zoomScaleNormal="100" zoomScaleSheetLayoutView="75" workbookViewId="0">
      <selection activeCell="E3" sqref="E3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56" style="4" customWidth="1"/>
    <col min="4" max="4" width="9" style="4" customWidth="1"/>
    <col min="5" max="5" width="11.7109375" style="5" customWidth="1" outlineLevel="1"/>
    <col min="6" max="6" width="10.7109375" style="5" customWidth="1" outlineLevel="1"/>
    <col min="7" max="7" width="10.7109375" style="5" hidden="1" customWidth="1" outlineLevel="1"/>
    <col min="8" max="8" width="11.140625" style="5" hidden="1" customWidth="1" outlineLevel="1"/>
    <col min="9" max="12" width="10.42578125" style="5" hidden="1" customWidth="1" outlineLevel="1"/>
    <col min="13" max="13" width="14.85546875" style="5" customWidth="1" collapsed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293</v>
      </c>
      <c r="E3" s="10">
        <f>Rok_ZPR+1</f>
        <v>2023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0" t="s">
        <v>250</v>
      </c>
      <c r="F6" s="1151"/>
      <c r="G6" s="1152"/>
      <c r="H6" s="1153" t="s">
        <v>251</v>
      </c>
      <c r="I6" s="1154"/>
      <c r="J6" s="1154"/>
      <c r="K6" s="1154"/>
      <c r="L6" s="1155"/>
    </row>
    <row r="7" spans="1:12" ht="30" thickTop="1" thickBot="1">
      <c r="B7" s="424">
        <v>1</v>
      </c>
      <c r="C7" s="22" t="s">
        <v>340</v>
      </c>
      <c r="D7" s="23" t="s">
        <v>151</v>
      </c>
      <c r="E7" s="24">
        <f>F7-1</f>
        <v>2020</v>
      </c>
      <c r="F7" s="25">
        <f>G7-1</f>
        <v>2021</v>
      </c>
      <c r="G7" s="26">
        <f>H7-1</f>
        <v>2022</v>
      </c>
      <c r="H7" s="27">
        <f>E3</f>
        <v>2023</v>
      </c>
      <c r="I7" s="28">
        <f>1+H7</f>
        <v>2024</v>
      </c>
      <c r="J7" s="29">
        <f>1+I7</f>
        <v>2025</v>
      </c>
      <c r="K7" s="29">
        <f>1+J7</f>
        <v>2026</v>
      </c>
      <c r="L7" s="30">
        <f>1+K7</f>
        <v>2027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67" t="s">
        <v>154</v>
      </c>
      <c r="D9" s="31" t="s">
        <v>152</v>
      </c>
      <c r="E9" s="38">
        <f>[1]LP!$D$35</f>
        <v>1.0229999999999999</v>
      </c>
      <c r="F9" s="39">
        <f>[1]LP!$D$36</f>
        <v>1.034</v>
      </c>
      <c r="G9" s="40">
        <f>[1]LP!$D$37</f>
        <v>1.018</v>
      </c>
      <c r="H9" s="41">
        <f>[1]LP!$D$38</f>
        <v>1.022</v>
      </c>
      <c r="I9" s="42">
        <f>[1]LP!$D$39</f>
        <v>1.024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2.75">
      <c r="B10" s="12"/>
      <c r="C10" s="868" t="s">
        <v>155</v>
      </c>
      <c r="D10" s="31" t="s">
        <v>152</v>
      </c>
      <c r="E10" s="44">
        <f>[1]LP!$D$41</f>
        <v>1.048</v>
      </c>
      <c r="F10" s="45">
        <f>[1]LP!$D$42</f>
        <v>1.0169999999999999</v>
      </c>
      <c r="G10" s="46">
        <f>[1]LP!$D$43</f>
        <v>1.0149999999999999</v>
      </c>
      <c r="H10" s="47">
        <f>[1]LP!$D$44</f>
        <v>1.0189999999999999</v>
      </c>
      <c r="I10" s="45">
        <f>[1]LP!$D$45</f>
        <v>1.022</v>
      </c>
      <c r="J10" s="45">
        <f>[1]LP!$D$46</f>
        <v>1.0269999999999999</v>
      </c>
      <c r="K10" s="45">
        <f>[1]LP!$D$47</f>
        <v>1.0289999999999999</v>
      </c>
      <c r="L10" s="46">
        <f>[1]LP!$D$48</f>
        <v>1.03</v>
      </c>
    </row>
    <row r="11" spans="1:12" ht="12.75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69" t="s">
        <v>156</v>
      </c>
      <c r="D12" s="56" t="s">
        <v>152</v>
      </c>
      <c r="E12" s="57">
        <f>[1]LP!$D$49</f>
        <v>1.8599999999999998E-2</v>
      </c>
      <c r="F12" s="58">
        <f>[1]LP!$D$50</f>
        <v>7.1999999999999998E-3</v>
      </c>
      <c r="G12" s="59">
        <f>[1]LP!$D$51</f>
        <v>2.5000000000000001E-3</v>
      </c>
      <c r="H12" s="60">
        <f>[1]LP!$D$52</f>
        <v>3.5000000000000001E-3</v>
      </c>
      <c r="I12" s="61">
        <f>[1]LP!$D$52</f>
        <v>3.5000000000000001E-3</v>
      </c>
      <c r="J12" s="61">
        <f>[1]LP!$D$52</f>
        <v>3.5000000000000001E-3</v>
      </c>
      <c r="K12" s="61">
        <f>[1]LP!$D$52</f>
        <v>3.5000000000000001E-3</v>
      </c>
      <c r="L12" s="62">
        <f>[1]LP!$D$52</f>
        <v>3.5000000000000001E-3</v>
      </c>
    </row>
    <row r="13" spans="1:12" s="54" customFormat="1" ht="12.75">
      <c r="B13" s="55"/>
      <c r="C13" s="869" t="s">
        <v>301</v>
      </c>
      <c r="D13" s="56" t="str">
        <f>D12</f>
        <v>%</v>
      </c>
      <c r="E13" s="63">
        <f>[1]LP!$D$53</f>
        <v>0.02</v>
      </c>
      <c r="F13" s="61">
        <f>[1]LP!$D$53</f>
        <v>0.02</v>
      </c>
      <c r="G13" s="62">
        <f>[1]LP!$D$53</f>
        <v>0.02</v>
      </c>
      <c r="H13" s="60">
        <f>[1]LP!$D$53</f>
        <v>0.02</v>
      </c>
      <c r="I13" s="61">
        <f>[1]LP!$D$53</f>
        <v>0.02</v>
      </c>
      <c r="J13" s="61">
        <f>[1]LP!$D$53</f>
        <v>0.02</v>
      </c>
      <c r="K13" s="61">
        <f>[1]LP!$D$53</f>
        <v>0.02</v>
      </c>
      <c r="L13" s="62">
        <f>[1]LP!$D$53</f>
        <v>0.02</v>
      </c>
    </row>
    <row r="14" spans="1:12" s="54" customFormat="1" ht="12.75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2.75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5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62"/>
      <c r="C18" s="877" t="str">
        <f>CONCATENATE("TABELA ",B19)</f>
        <v>TABELA 2</v>
      </c>
      <c r="D18" s="5"/>
      <c r="E18" s="1164" t="s">
        <v>250</v>
      </c>
      <c r="F18" s="1165"/>
      <c r="G18" s="1166"/>
      <c r="H18" s="1153" t="s">
        <v>251</v>
      </c>
      <c r="I18" s="1154"/>
      <c r="J18" s="1154"/>
      <c r="K18" s="1154"/>
      <c r="L18" s="1155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2020</v>
      </c>
      <c r="F19" s="25">
        <f t="shared" ref="F19:L19" si="3">F$7</f>
        <v>2021</v>
      </c>
      <c r="G19" s="72">
        <f t="shared" si="3"/>
        <v>2022</v>
      </c>
      <c r="H19" s="73">
        <f t="shared" si="3"/>
        <v>2023</v>
      </c>
      <c r="I19" s="29">
        <f t="shared" si="3"/>
        <v>2024</v>
      </c>
      <c r="J19" s="29">
        <f t="shared" si="3"/>
        <v>2025</v>
      </c>
      <c r="K19" s="29">
        <f t="shared" si="3"/>
        <v>2026</v>
      </c>
      <c r="L19" s="30">
        <f t="shared" si="3"/>
        <v>2027</v>
      </c>
    </row>
    <row r="20" spans="2:12" ht="12.75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343</v>
      </c>
      <c r="D21" s="78" t="s">
        <v>311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344</v>
      </c>
      <c r="D22" s="85" t="s">
        <v>311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345</v>
      </c>
      <c r="D23" s="78" t="s">
        <v>311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346</v>
      </c>
      <c r="D24" s="78" t="s">
        <v>152</v>
      </c>
      <c r="E24" s="98" t="s">
        <v>318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318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345</v>
      </c>
      <c r="D26" s="78" t="s">
        <v>152</v>
      </c>
      <c r="E26" s="110" t="s">
        <v>318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347</v>
      </c>
      <c r="D27" s="78" t="s">
        <v>312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312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345</v>
      </c>
      <c r="D29" s="128" t="s">
        <v>312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348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318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345</v>
      </c>
      <c r="D32" s="141" t="s">
        <v>152</v>
      </c>
      <c r="E32" s="142" t="s">
        <v>318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.75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322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349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350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.75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0"/>
      <c r="F45" s="1151"/>
      <c r="G45" s="1152"/>
      <c r="H45" s="1153"/>
      <c r="I45" s="1154"/>
      <c r="J45" s="1154"/>
      <c r="K45" s="1154"/>
      <c r="L45" s="1155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0" t="s">
        <v>250</v>
      </c>
      <c r="F53" s="1151"/>
      <c r="G53" s="1152"/>
      <c r="H53" s="1153" t="s">
        <v>251</v>
      </c>
      <c r="I53" s="1154"/>
      <c r="J53" s="1154"/>
      <c r="K53" s="1154"/>
      <c r="L53" s="1155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2020</v>
      </c>
      <c r="F54" s="25">
        <f t="shared" ref="F54:L54" si="14">F$7</f>
        <v>2021</v>
      </c>
      <c r="G54" s="177">
        <f t="shared" si="14"/>
        <v>2022</v>
      </c>
      <c r="H54" s="73">
        <f t="shared" si="14"/>
        <v>2023</v>
      </c>
      <c r="I54" s="29">
        <f t="shared" si="14"/>
        <v>2024</v>
      </c>
      <c r="J54" s="29">
        <f t="shared" si="14"/>
        <v>2025</v>
      </c>
      <c r="K54" s="29">
        <f t="shared" si="14"/>
        <v>2026</v>
      </c>
      <c r="L54" s="30">
        <f t="shared" si="14"/>
        <v>2027</v>
      </c>
    </row>
    <row r="55" spans="1:22" ht="12.75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73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73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73"/>
      <c r="B58" s="200"/>
      <c r="C58" s="906" t="s">
        <v>357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73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73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73"/>
      <c r="B61" s="200"/>
      <c r="C61" s="906" t="s">
        <v>352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73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73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73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73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73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73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73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73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73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73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73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73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351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358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.75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74"/>
      <c r="F85" s="1175"/>
      <c r="G85" s="1176"/>
      <c r="H85" s="1153"/>
      <c r="I85" s="1154"/>
      <c r="J85" s="1154"/>
      <c r="K85" s="1154"/>
      <c r="L85" s="1155"/>
    </row>
    <row r="86" spans="1:12" ht="17.25" hidden="1" thickTop="1" thickBot="1">
      <c r="C86" s="22"/>
      <c r="D86" s="70"/>
      <c r="E86" s="1177"/>
      <c r="F86" s="1178"/>
      <c r="G86" s="1179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70"/>
      <c r="F88" s="1171"/>
      <c r="G88" s="1172"/>
      <c r="H88" s="203"/>
      <c r="I88" s="204"/>
      <c r="J88" s="204"/>
      <c r="K88" s="204"/>
      <c r="L88" s="205"/>
    </row>
    <row r="89" spans="1:12" hidden="1">
      <c r="C89" s="210"/>
      <c r="D89" s="186"/>
      <c r="E89" s="1170"/>
      <c r="F89" s="1171"/>
      <c r="G89" s="1172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70"/>
      <c r="F91" s="1171"/>
      <c r="G91" s="1172"/>
      <c r="H91" s="203"/>
      <c r="I91" s="204"/>
      <c r="J91" s="204"/>
      <c r="K91" s="204"/>
      <c r="L91" s="205"/>
    </row>
    <row r="92" spans="1:12" hidden="1">
      <c r="C92" s="214"/>
      <c r="D92" s="186"/>
      <c r="E92" s="1170"/>
      <c r="F92" s="1171"/>
      <c r="G92" s="1172"/>
      <c r="H92" s="203"/>
      <c r="I92" s="204"/>
      <c r="J92" s="204"/>
      <c r="K92" s="204"/>
      <c r="L92" s="205"/>
    </row>
    <row r="93" spans="1:12" hidden="1">
      <c r="C93" s="214"/>
      <c r="D93" s="186"/>
      <c r="E93" s="1170"/>
      <c r="F93" s="1171"/>
      <c r="G93" s="1172"/>
      <c r="H93" s="203"/>
      <c r="I93" s="204"/>
      <c r="J93" s="204"/>
      <c r="K93" s="204"/>
      <c r="L93" s="205"/>
    </row>
    <row r="94" spans="1:12" hidden="1">
      <c r="C94" s="214"/>
      <c r="D94" s="186"/>
      <c r="E94" s="1170"/>
      <c r="F94" s="1171"/>
      <c r="G94" s="1172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70"/>
      <c r="F96" s="1171"/>
      <c r="G96" s="1172"/>
      <c r="H96" s="203"/>
      <c r="I96" s="204"/>
      <c r="J96" s="204"/>
      <c r="K96" s="204"/>
      <c r="L96" s="205"/>
    </row>
    <row r="97" spans="2:12" hidden="1">
      <c r="C97" s="217"/>
      <c r="D97" s="186"/>
      <c r="E97" s="1170"/>
      <c r="F97" s="1171"/>
      <c r="G97" s="1172"/>
      <c r="H97" s="203"/>
      <c r="I97" s="204"/>
      <c r="J97" s="204"/>
      <c r="K97" s="204"/>
      <c r="L97" s="205"/>
    </row>
    <row r="98" spans="2:12" hidden="1">
      <c r="C98" s="214"/>
      <c r="D98" s="186"/>
      <c r="E98" s="1170"/>
      <c r="F98" s="1171"/>
      <c r="G98" s="1172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70"/>
      <c r="F100" s="1171"/>
      <c r="G100" s="1172"/>
      <c r="H100" s="203"/>
      <c r="I100" s="204"/>
      <c r="J100" s="204"/>
      <c r="K100" s="204"/>
      <c r="L100" s="205"/>
    </row>
    <row r="101" spans="2:12" hidden="1">
      <c r="C101" s="271"/>
      <c r="D101" s="272"/>
      <c r="E101" s="1170"/>
      <c r="F101" s="1171"/>
      <c r="G101" s="1172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0" t="s">
        <v>250</v>
      </c>
      <c r="F104" s="1151"/>
      <c r="G104" s="1152"/>
      <c r="H104" s="1167" t="s">
        <v>251</v>
      </c>
      <c r="I104" s="1168"/>
      <c r="J104" s="1168"/>
      <c r="K104" s="1168"/>
      <c r="L104" s="1169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2020</v>
      </c>
      <c r="F105" s="25">
        <f t="shared" ref="F105:L105" si="31">F$7</f>
        <v>2021</v>
      </c>
      <c r="G105" s="177">
        <f t="shared" si="31"/>
        <v>2022</v>
      </c>
      <c r="H105" s="73">
        <f t="shared" si="31"/>
        <v>2023</v>
      </c>
      <c r="I105" s="29">
        <f t="shared" si="31"/>
        <v>2024</v>
      </c>
      <c r="J105" s="29">
        <f t="shared" si="31"/>
        <v>2025</v>
      </c>
      <c r="K105" s="29">
        <f t="shared" si="31"/>
        <v>2026</v>
      </c>
      <c r="L105" s="30">
        <f t="shared" si="31"/>
        <v>2027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353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.75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0" t="s">
        <v>250</v>
      </c>
      <c r="F121" s="1151"/>
      <c r="G121" s="1152"/>
      <c r="H121" s="1153" t="s">
        <v>251</v>
      </c>
      <c r="I121" s="1154"/>
      <c r="J121" s="1154"/>
      <c r="K121" s="1154"/>
      <c r="L121" s="1155"/>
    </row>
    <row r="122" spans="2:14" ht="17.25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2020</v>
      </c>
      <c r="F122" s="25">
        <f t="shared" ref="F122:L122" si="34">F$7</f>
        <v>2021</v>
      </c>
      <c r="G122" s="177">
        <f t="shared" si="34"/>
        <v>2022</v>
      </c>
      <c r="H122" s="73">
        <f t="shared" si="34"/>
        <v>2023</v>
      </c>
      <c r="I122" s="29">
        <f t="shared" si="34"/>
        <v>2024</v>
      </c>
      <c r="J122" s="29">
        <f t="shared" si="34"/>
        <v>2025</v>
      </c>
      <c r="K122" s="29">
        <f t="shared" si="34"/>
        <v>2026</v>
      </c>
      <c r="L122" s="30">
        <f t="shared" si="34"/>
        <v>2027</v>
      </c>
    </row>
    <row r="123" spans="2:14" ht="12.75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2.75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62"/>
      <c r="C126" s="918" t="s">
        <v>355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2.75">
      <c r="B127" s="976"/>
      <c r="C127" s="919" t="s">
        <v>319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2.75">
      <c r="B128" s="977"/>
      <c r="C128" s="920" t="s">
        <v>354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77"/>
      <c r="C129" s="920" t="s">
        <v>317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8.25">
      <c r="B131" s="976"/>
      <c r="C131" s="919" t="s">
        <v>323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5.5">
      <c r="B132" s="862"/>
      <c r="C132" s="922" t="s">
        <v>324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2.75">
      <c r="B133" s="862"/>
      <c r="C133" s="921" t="s">
        <v>313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77"/>
      <c r="C134" s="920" t="s">
        <v>321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77"/>
      <c r="C136" s="920" t="s">
        <v>314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77"/>
      <c r="C137" s="920" t="s">
        <v>315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77"/>
      <c r="C138" s="920" t="s">
        <v>316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77"/>
      <c r="C139" s="920" t="s">
        <v>356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8.25">
      <c r="B141" s="977"/>
      <c r="C141" s="923" t="s">
        <v>320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78"/>
      <c r="C142" s="919" t="s">
        <v>258</v>
      </c>
      <c r="D142" s="331" t="str">
        <f>D141</f>
        <v>tys. zł</v>
      </c>
      <c r="E142" s="353">
        <f t="shared" ref="E142:L142" si="41">SUM(E143:E150)</f>
        <v>0</v>
      </c>
      <c r="F142" s="354">
        <f t="shared" si="41"/>
        <v>0</v>
      </c>
      <c r="G142" s="355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77"/>
      <c r="C148" s="924" t="s">
        <v>300</v>
      </c>
      <c r="D148" s="1149" t="str">
        <f t="shared" si="40"/>
        <v>tys. zł</v>
      </c>
      <c r="E148" s="114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77"/>
      <c r="C149" s="924" t="s">
        <v>249</v>
      </c>
      <c r="D149" s="1149" t="str">
        <f>D147</f>
        <v>tys. zł</v>
      </c>
      <c r="E149" s="114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5.5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49" t="str">
        <f>D148</f>
        <v>tys. zł</v>
      </c>
      <c r="E150" s="114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2">F127+F131+F142-F126</f>
        <v>0</v>
      </c>
      <c r="G151" s="1107">
        <f t="shared" si="42"/>
        <v>0</v>
      </c>
      <c r="H151" s="357">
        <f t="shared" si="42"/>
        <v>0</v>
      </c>
      <c r="I151" s="357">
        <f t="shared" si="42"/>
        <v>0</v>
      </c>
      <c r="J151" s="357">
        <f t="shared" si="42"/>
        <v>0</v>
      </c>
      <c r="K151" s="357">
        <f t="shared" si="42"/>
        <v>0</v>
      </c>
      <c r="L151" s="357">
        <f t="shared" si="42"/>
        <v>0</v>
      </c>
      <c r="M151" s="358"/>
    </row>
    <row r="152" spans="2:14" s="178" customFormat="1" ht="13.5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3">F299</f>
        <v>0</v>
      </c>
      <c r="G152" s="361">
        <f t="shared" si="43"/>
        <v>0</v>
      </c>
      <c r="H152" s="362">
        <f t="shared" si="43"/>
        <v>0</v>
      </c>
      <c r="I152" s="363">
        <f t="shared" si="43"/>
        <v>0</v>
      </c>
      <c r="J152" s="363">
        <f t="shared" si="43"/>
        <v>0</v>
      </c>
      <c r="K152" s="363">
        <f t="shared" si="43"/>
        <v>0</v>
      </c>
      <c r="L152" s="364">
        <f t="shared" si="43"/>
        <v>0</v>
      </c>
      <c r="M152" s="341"/>
      <c r="N152" s="336"/>
    </row>
    <row r="153" spans="2:14" ht="13.5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4">SUM(G156:G162)</f>
        <v>0</v>
      </c>
      <c r="H154" s="369">
        <f t="shared" si="44"/>
        <v>0</v>
      </c>
      <c r="I154" s="367">
        <f t="shared" si="44"/>
        <v>0</v>
      </c>
      <c r="J154" s="367">
        <f t="shared" si="44"/>
        <v>0</v>
      </c>
      <c r="K154" s="367">
        <f t="shared" si="44"/>
        <v>0</v>
      </c>
      <c r="L154" s="368">
        <f t="shared" si="44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5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5"/>
        <v>Grunty</v>
      </c>
      <c r="D157" s="292" t="str">
        <f t="shared" ref="D157:D162" si="46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5"/>
        <v>Budynki</v>
      </c>
      <c r="D158" s="292" t="str">
        <f t="shared" si="46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5"/>
        <v>Budowle</v>
      </c>
      <c r="D159" s="292" t="str">
        <f t="shared" si="46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5"/>
        <v>Urządzenia techniczne i maszyny</v>
      </c>
      <c r="D160" s="292" t="str">
        <f t="shared" si="46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5"/>
        <v>Środki transportu</v>
      </c>
      <c r="D161" s="292" t="str">
        <f t="shared" si="46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5"/>
        <v>Inne środki trwałe</v>
      </c>
      <c r="D162" s="307" t="str">
        <f t="shared" si="46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3" hidden="1" thickTop="1" thickBot="1">
      <c r="B166" s="5">
        <f>B122</f>
        <v>5</v>
      </c>
      <c r="C166" s="22" t="s">
        <v>166</v>
      </c>
      <c r="D166" s="374"/>
      <c r="E166" s="1158" t="s">
        <v>164</v>
      </c>
      <c r="F166" s="1159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4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8.2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47"/>
        <v>0</v>
      </c>
      <c r="C177" s="337">
        <f t="shared" si="4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47"/>
        <v>0</v>
      </c>
      <c r="C179" s="337" t="str">
        <f t="shared" si="4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8.2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47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47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47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47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47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47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4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47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0" t="s">
        <v>250</v>
      </c>
      <c r="F194" s="1151"/>
      <c r="G194" s="1152"/>
      <c r="H194" s="1153" t="s">
        <v>251</v>
      </c>
      <c r="I194" s="1154"/>
      <c r="J194" s="1154"/>
      <c r="K194" s="1154"/>
      <c r="L194" s="1155"/>
    </row>
    <row r="195" spans="2:15" ht="33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2020</v>
      </c>
      <c r="F195" s="25">
        <f t="shared" ref="F195:L195" si="49">F$7</f>
        <v>2021</v>
      </c>
      <c r="G195" s="177">
        <f t="shared" si="49"/>
        <v>2022</v>
      </c>
      <c r="H195" s="73">
        <f t="shared" si="49"/>
        <v>2023</v>
      </c>
      <c r="I195" s="29">
        <f t="shared" si="49"/>
        <v>2024</v>
      </c>
      <c r="J195" s="29">
        <f t="shared" si="49"/>
        <v>2025</v>
      </c>
      <c r="K195" s="29">
        <f t="shared" si="49"/>
        <v>2026</v>
      </c>
      <c r="L195" s="30">
        <f t="shared" si="49"/>
        <v>2027</v>
      </c>
    </row>
    <row r="196" spans="2:15" ht="12.75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2.75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5.5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2.75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2.75">
      <c r="B204" s="862"/>
      <c r="C204" s="921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62"/>
      <c r="C205" s="921" t="str">
        <f>C136</f>
        <v xml:space="preserve">   - gazociągi średniego i niskiego ciśnienia</v>
      </c>
      <c r="D205" s="18" t="str">
        <f t="shared" si="54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62"/>
      <c r="C206" s="921"/>
      <c r="D206" s="18" t="str">
        <f t="shared" si="54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62"/>
      <c r="C207" s="921" t="s">
        <v>315</v>
      </c>
      <c r="D207" s="18" t="str">
        <f t="shared" si="54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4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78"/>
      <c r="C212" s="919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2.75">
      <c r="B213" s="862"/>
      <c r="C213" s="927" t="s">
        <v>245</v>
      </c>
      <c r="D213" s="18" t="str">
        <f t="shared" si="54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62"/>
      <c r="C214" s="927" t="s">
        <v>246</v>
      </c>
      <c r="D214" s="18" t="str">
        <f t="shared" si="54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62"/>
      <c r="C215" s="927" t="s">
        <v>247</v>
      </c>
      <c r="D215" s="18" t="str">
        <f t="shared" si="54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62"/>
      <c r="C216" s="927" t="s">
        <v>248</v>
      </c>
      <c r="D216" s="18" t="str">
        <f t="shared" si="54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62"/>
      <c r="C217" s="927" t="s">
        <v>244</v>
      </c>
      <c r="D217" s="18" t="str">
        <f t="shared" si="54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62"/>
      <c r="C218" s="927" t="str">
        <f>C189</f>
        <v>Zakup środków transportu</v>
      </c>
      <c r="D218" s="18" t="str">
        <f t="shared" si="54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76"/>
      <c r="C220" s="928" t="s">
        <v>169</v>
      </c>
      <c r="D220" s="414" t="str">
        <f>+D213</f>
        <v>tys. zł</v>
      </c>
      <c r="E220" s="415">
        <f t="shared" ref="E220:L220" si="56">E197+E201+E212</f>
        <v>0</v>
      </c>
      <c r="F220" s="416">
        <f t="shared" si="56"/>
        <v>0</v>
      </c>
      <c r="G220" s="417">
        <f t="shared" si="56"/>
        <v>0</v>
      </c>
      <c r="H220" s="418">
        <f t="shared" si="56"/>
        <v>0</v>
      </c>
      <c r="I220" s="416">
        <f t="shared" si="56"/>
        <v>0</v>
      </c>
      <c r="J220" s="416">
        <f t="shared" si="56"/>
        <v>0</v>
      </c>
      <c r="K220" s="416">
        <f t="shared" si="56"/>
        <v>0</v>
      </c>
      <c r="L220" s="417">
        <f t="shared" si="56"/>
        <v>0</v>
      </c>
    </row>
    <row r="221" spans="2:14" ht="12.75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5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50" t="s">
        <v>250</v>
      </c>
      <c r="F234" s="1151"/>
      <c r="G234" s="1152"/>
      <c r="H234" s="1153" t="s">
        <v>251</v>
      </c>
      <c r="I234" s="1154"/>
      <c r="J234" s="1154"/>
      <c r="K234" s="1154"/>
      <c r="L234" s="1155"/>
    </row>
    <row r="235" spans="2:12" ht="27.75" outlineLevel="1" thickTop="1" thickBot="1">
      <c r="B235" s="878">
        <f>B195+1</f>
        <v>7</v>
      </c>
      <c r="C235" s="991" t="s">
        <v>341</v>
      </c>
      <c r="D235" s="70" t="str">
        <f>+D195</f>
        <v>j.m.</v>
      </c>
      <c r="E235" s="24">
        <f>E$7</f>
        <v>2020</v>
      </c>
      <c r="F235" s="25">
        <f t="shared" ref="F235:L235" si="58">F$7</f>
        <v>2021</v>
      </c>
      <c r="G235" s="177">
        <f t="shared" si="58"/>
        <v>2022</v>
      </c>
      <c r="H235" s="73">
        <f t="shared" si="58"/>
        <v>2023</v>
      </c>
      <c r="I235" s="29">
        <f t="shared" si="58"/>
        <v>2024</v>
      </c>
      <c r="J235" s="29">
        <f t="shared" si="58"/>
        <v>2025</v>
      </c>
      <c r="K235" s="29">
        <f t="shared" si="58"/>
        <v>2026</v>
      </c>
      <c r="L235" s="30">
        <f t="shared" si="58"/>
        <v>2027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2.75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9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9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9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9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9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62"/>
      <c r="C254" s="993" t="s">
        <v>174</v>
      </c>
      <c r="D254" s="435" t="str">
        <f t="shared" si="59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60">G235</f>
        <v>2022</v>
      </c>
      <c r="H256" s="442">
        <f t="shared" si="60"/>
        <v>2023</v>
      </c>
      <c r="I256" s="443">
        <f t="shared" si="60"/>
        <v>2024</v>
      </c>
      <c r="J256" s="443">
        <f t="shared" si="60"/>
        <v>2025</v>
      </c>
      <c r="K256" s="443">
        <f t="shared" si="60"/>
        <v>2026</v>
      </c>
      <c r="L256" s="444">
        <f t="shared" si="60"/>
        <v>2027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310</v>
      </c>
      <c r="F257" s="446" t="s">
        <v>310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1">+C238</f>
        <v>Grunty</v>
      </c>
      <c r="D258" s="292" t="s">
        <v>157</v>
      </c>
      <c r="E258" s="445" t="s">
        <v>310</v>
      </c>
      <c r="F258" s="446" t="s">
        <v>310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1"/>
        <v>Budynki</v>
      </c>
      <c r="D259" s="292" t="s">
        <v>157</v>
      </c>
      <c r="E259" s="445" t="s">
        <v>310</v>
      </c>
      <c r="F259" s="446" t="s">
        <v>310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1"/>
        <v>Budowle</v>
      </c>
      <c r="D260" s="292" t="s">
        <v>157</v>
      </c>
      <c r="E260" s="445" t="s">
        <v>310</v>
      </c>
      <c r="F260" s="446" t="s">
        <v>310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1"/>
        <v>Urządzenia techniczne i maszyny</v>
      </c>
      <c r="D261" s="292" t="s">
        <v>157</v>
      </c>
      <c r="E261" s="445" t="s">
        <v>310</v>
      </c>
      <c r="F261" s="446" t="s">
        <v>310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1"/>
        <v>Środki transportu</v>
      </c>
      <c r="D262" s="292" t="s">
        <v>157</v>
      </c>
      <c r="E262" s="445" t="s">
        <v>310</v>
      </c>
      <c r="F262" s="446" t="s">
        <v>310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1"/>
        <v>Inne środki trwałe</v>
      </c>
      <c r="D263" s="292" t="s">
        <v>157</v>
      </c>
      <c r="E263" s="445" t="s">
        <v>310</v>
      </c>
      <c r="F263" s="446" t="s">
        <v>310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7.25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3">1+F268</f>
        <v>2</v>
      </c>
      <c r="H268" s="449">
        <f t="shared" si="63"/>
        <v>3</v>
      </c>
      <c r="I268" s="449">
        <f t="shared" si="63"/>
        <v>4</v>
      </c>
      <c r="J268" s="449">
        <f t="shared" si="63"/>
        <v>5</v>
      </c>
      <c r="K268" s="449">
        <f t="shared" si="63"/>
        <v>6</v>
      </c>
      <c r="L268" s="449">
        <f t="shared" si="63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50" t="s">
        <v>250</v>
      </c>
      <c r="F269" s="1151"/>
      <c r="G269" s="1152"/>
      <c r="H269" s="1153" t="s">
        <v>251</v>
      </c>
      <c r="I269" s="1154"/>
      <c r="J269" s="1154"/>
      <c r="K269" s="1154"/>
      <c r="L269" s="1155"/>
    </row>
    <row r="270" spans="2:12" ht="27.75" outlineLevel="1" thickTop="1" thickBot="1">
      <c r="B270" s="878">
        <f>B235+1</f>
        <v>8</v>
      </c>
      <c r="C270" s="931" t="s">
        <v>342</v>
      </c>
      <c r="D270" s="1006" t="str">
        <f>+D195</f>
        <v>j.m.</v>
      </c>
      <c r="E270" s="24">
        <f>E$7</f>
        <v>2020</v>
      </c>
      <c r="F270" s="25">
        <f t="shared" ref="F270:L270" si="64">F$7</f>
        <v>2021</v>
      </c>
      <c r="G270" s="177">
        <f t="shared" si="64"/>
        <v>2022</v>
      </c>
      <c r="H270" s="73">
        <f t="shared" si="64"/>
        <v>2023</v>
      </c>
      <c r="I270" s="29">
        <f t="shared" si="64"/>
        <v>2024</v>
      </c>
      <c r="J270" s="29">
        <f t="shared" si="64"/>
        <v>2025</v>
      </c>
      <c r="K270" s="29">
        <f t="shared" si="64"/>
        <v>2026</v>
      </c>
      <c r="L270" s="30">
        <f t="shared" si="64"/>
        <v>2027</v>
      </c>
    </row>
    <row r="271" spans="2:12" ht="13.5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5">+F237+F223</f>
        <v>0</v>
      </c>
      <c r="G272" s="452">
        <f t="shared" si="65"/>
        <v>0</v>
      </c>
      <c r="H272" s="453">
        <f t="shared" ref="H272:L278" si="66">+H237+H223</f>
        <v>0</v>
      </c>
      <c r="I272" s="454">
        <f>+I237+I223</f>
        <v>0</v>
      </c>
      <c r="J272" s="454">
        <f t="shared" si="66"/>
        <v>0</v>
      </c>
      <c r="K272" s="454">
        <f t="shared" si="66"/>
        <v>0</v>
      </c>
      <c r="L272" s="455">
        <f t="shared" si="66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7">+F280-F245-F231</f>
        <v>0</v>
      </c>
      <c r="G281" s="357">
        <f t="shared" si="67"/>
        <v>0</v>
      </c>
      <c r="H281" s="357">
        <f t="shared" si="67"/>
        <v>0</v>
      </c>
      <c r="I281" s="357">
        <f t="shared" si="67"/>
        <v>0</v>
      </c>
      <c r="J281" s="357">
        <f t="shared" si="67"/>
        <v>0</v>
      </c>
      <c r="K281" s="357">
        <f t="shared" si="67"/>
        <v>0</v>
      </c>
      <c r="L281" s="357">
        <f t="shared" si="67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50" t="s">
        <v>250</v>
      </c>
      <c r="F284" s="1151"/>
      <c r="G284" s="1152"/>
      <c r="H284" s="1153" t="s">
        <v>251</v>
      </c>
      <c r="I284" s="1154"/>
      <c r="J284" s="1154"/>
      <c r="K284" s="1154"/>
      <c r="L284" s="1155"/>
    </row>
    <row r="285" spans="1:13" ht="17.25" thickTop="1" thickBot="1">
      <c r="A285" s="424"/>
      <c r="C285" s="933" t="s">
        <v>291</v>
      </c>
      <c r="D285" s="461" t="s">
        <v>151</v>
      </c>
      <c r="E285" s="24">
        <f>E$7</f>
        <v>2020</v>
      </c>
      <c r="F285" s="25">
        <f t="shared" ref="F285:L285" si="68">F$7</f>
        <v>2021</v>
      </c>
      <c r="G285" s="177">
        <f t="shared" si="68"/>
        <v>2022</v>
      </c>
      <c r="H285" s="73">
        <f t="shared" si="68"/>
        <v>2023</v>
      </c>
      <c r="I285" s="29">
        <f t="shared" si="68"/>
        <v>2024</v>
      </c>
      <c r="J285" s="29">
        <f t="shared" si="68"/>
        <v>2025</v>
      </c>
      <c r="K285" s="29">
        <f t="shared" si="68"/>
        <v>2026</v>
      </c>
      <c r="L285" s="30">
        <f t="shared" si="68"/>
        <v>2027</v>
      </c>
    </row>
    <row r="286" spans="1:13" s="457" customFormat="1" ht="13.5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2.75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9">+E291+F289-F290</f>
        <v>0</v>
      </c>
      <c r="G291" s="482">
        <f t="shared" si="69"/>
        <v>0</v>
      </c>
      <c r="H291" s="483">
        <f t="shared" si="69"/>
        <v>0</v>
      </c>
      <c r="I291" s="484">
        <f t="shared" si="69"/>
        <v>0</v>
      </c>
      <c r="J291" s="484">
        <f t="shared" si="69"/>
        <v>0</v>
      </c>
      <c r="K291" s="484">
        <f t="shared" si="69"/>
        <v>0</v>
      </c>
      <c r="L291" s="485">
        <f t="shared" si="69"/>
        <v>0</v>
      </c>
    </row>
    <row r="292" spans="1:12" s="474" customFormat="1" ht="12.75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6.25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6.25" thickBot="1">
      <c r="A299" s="462"/>
      <c r="C299" s="936" t="s">
        <v>304</v>
      </c>
      <c r="D299" s="514"/>
      <c r="E299" s="515">
        <f t="shared" ref="E299:L299" si="70">E295-E298</f>
        <v>0</v>
      </c>
      <c r="F299" s="516">
        <f t="shared" si="70"/>
        <v>0</v>
      </c>
      <c r="G299" s="517">
        <f t="shared" si="70"/>
        <v>0</v>
      </c>
      <c r="H299" s="518">
        <f t="shared" si="70"/>
        <v>0</v>
      </c>
      <c r="I299" s="519">
        <f t="shared" si="70"/>
        <v>0</v>
      </c>
      <c r="J299" s="519">
        <f t="shared" si="70"/>
        <v>0</v>
      </c>
      <c r="K299" s="519">
        <f t="shared" si="70"/>
        <v>0</v>
      </c>
      <c r="L299" s="520">
        <f t="shared" si="70"/>
        <v>0</v>
      </c>
    </row>
    <row r="300" spans="1:12" s="457" customFormat="1" ht="13.5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1">E306+F304-F305</f>
        <v>0</v>
      </c>
      <c r="G306" s="482">
        <f t="shared" si="71"/>
        <v>0</v>
      </c>
      <c r="H306" s="483">
        <f t="shared" si="71"/>
        <v>0</v>
      </c>
      <c r="I306" s="484">
        <f t="shared" si="71"/>
        <v>0</v>
      </c>
      <c r="J306" s="484">
        <f t="shared" si="71"/>
        <v>0</v>
      </c>
      <c r="K306" s="484">
        <f t="shared" si="71"/>
        <v>0</v>
      </c>
      <c r="L306" s="485">
        <f t="shared" si="71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60" t="s">
        <v>138</v>
      </c>
      <c r="D311" s="1161"/>
      <c r="E311" s="1141">
        <f>E291-E292</f>
        <v>0</v>
      </c>
      <c r="F311" s="1141">
        <f t="shared" ref="F311:L311" si="72">F291-F292</f>
        <v>0</v>
      </c>
      <c r="G311" s="1141">
        <f t="shared" si="72"/>
        <v>0</v>
      </c>
      <c r="H311" s="1142">
        <f t="shared" si="72"/>
        <v>0</v>
      </c>
      <c r="I311" s="1142">
        <f t="shared" si="72"/>
        <v>0</v>
      </c>
      <c r="J311" s="1142">
        <f t="shared" si="72"/>
        <v>0</v>
      </c>
      <c r="K311" s="1142">
        <f t="shared" si="72"/>
        <v>0</v>
      </c>
      <c r="L311" s="1143">
        <f t="shared" si="72"/>
        <v>0</v>
      </c>
      <c r="M311" s="1020"/>
    </row>
    <row r="312" spans="1:13" s="457" customFormat="1" ht="12.75" customHeight="1">
      <c r="A312" s="462"/>
      <c r="B312" s="1020"/>
      <c r="C312" s="1162" t="s">
        <v>137</v>
      </c>
      <c r="D312" s="1163"/>
      <c r="E312" s="1118">
        <f t="shared" ref="E312:L312" si="73">E292+E306</f>
        <v>0</v>
      </c>
      <c r="F312" s="1118">
        <f t="shared" si="73"/>
        <v>0</v>
      </c>
      <c r="G312" s="1118">
        <f t="shared" si="73"/>
        <v>0</v>
      </c>
      <c r="H312" s="1119">
        <f t="shared" si="73"/>
        <v>0</v>
      </c>
      <c r="I312" s="1119">
        <f t="shared" si="73"/>
        <v>0</v>
      </c>
      <c r="J312" s="1119">
        <f t="shared" si="73"/>
        <v>0</v>
      </c>
      <c r="K312" s="1119">
        <f t="shared" si="73"/>
        <v>0</v>
      </c>
      <c r="L312" s="1120">
        <f t="shared" si="73"/>
        <v>0</v>
      </c>
      <c r="M312" s="1020"/>
    </row>
    <row r="313" spans="1:13" s="457" customFormat="1" ht="13.5" thickBot="1">
      <c r="A313" s="462"/>
      <c r="B313" s="1020"/>
      <c r="C313" s="1121" t="s">
        <v>120</v>
      </c>
      <c r="D313" s="514"/>
      <c r="E313" s="1122">
        <f t="shared" ref="E313:L313" si="74">E298+E309</f>
        <v>0</v>
      </c>
      <c r="F313" s="1122">
        <f t="shared" si="74"/>
        <v>0</v>
      </c>
      <c r="G313" s="1122">
        <f t="shared" si="74"/>
        <v>0</v>
      </c>
      <c r="H313" s="1123">
        <f t="shared" si="74"/>
        <v>0</v>
      </c>
      <c r="I313" s="1123">
        <f t="shared" si="74"/>
        <v>0</v>
      </c>
      <c r="J313" s="1123">
        <f t="shared" si="74"/>
        <v>0</v>
      </c>
      <c r="K313" s="1123">
        <f t="shared" si="74"/>
        <v>0</v>
      </c>
      <c r="L313" s="1124">
        <f t="shared" si="74"/>
        <v>0</v>
      </c>
      <c r="M313" s="1020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0" t="s">
        <v>250</v>
      </c>
      <c r="F315" s="1151"/>
      <c r="G315" s="1152"/>
      <c r="H315" s="1153" t="s">
        <v>251</v>
      </c>
      <c r="I315" s="1154"/>
      <c r="J315" s="1154"/>
      <c r="K315" s="1154"/>
      <c r="L315" s="1155"/>
    </row>
    <row r="316" spans="1:13" ht="24.75" customHeight="1" thickTop="1" thickBot="1">
      <c r="B316" s="424">
        <f>+B284+1</f>
        <v>10</v>
      </c>
      <c r="C316" s="1156" t="s">
        <v>295</v>
      </c>
      <c r="D316" s="1157"/>
      <c r="E316" s="24">
        <f>E$7</f>
        <v>2020</v>
      </c>
      <c r="F316" s="25">
        <f t="shared" ref="F316:L316" si="75">F$7</f>
        <v>2021</v>
      </c>
      <c r="G316" s="177">
        <f t="shared" si="75"/>
        <v>2022</v>
      </c>
      <c r="H316" s="73">
        <f t="shared" si="75"/>
        <v>2023</v>
      </c>
      <c r="I316" s="29">
        <f t="shared" si="75"/>
        <v>2024</v>
      </c>
      <c r="J316" s="29">
        <f t="shared" si="75"/>
        <v>2025</v>
      </c>
      <c r="K316" s="29">
        <f t="shared" si="75"/>
        <v>2026</v>
      </c>
      <c r="L316" s="30">
        <f t="shared" si="75"/>
        <v>2027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6">SUM(F320:F323)</f>
        <v>0</v>
      </c>
      <c r="G318" s="472">
        <f t="shared" si="76"/>
        <v>0</v>
      </c>
      <c r="H318" s="473">
        <f t="shared" si="76"/>
        <v>0</v>
      </c>
      <c r="I318" s="471">
        <f t="shared" si="76"/>
        <v>0</v>
      </c>
      <c r="J318" s="471">
        <f t="shared" si="76"/>
        <v>0</v>
      </c>
      <c r="K318" s="471">
        <f t="shared" si="76"/>
        <v>0</v>
      </c>
      <c r="L318" s="472">
        <f t="shared" si="76"/>
        <v>0</v>
      </c>
    </row>
    <row r="319" spans="1:13" s="530" customFormat="1" ht="10.5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7">+E33+E37</f>
        <v>0</v>
      </c>
      <c r="F320" s="540">
        <f t="shared" si="77"/>
        <v>0</v>
      </c>
      <c r="G320" s="541">
        <f t="shared" si="77"/>
        <v>0</v>
      </c>
      <c r="H320" s="542">
        <f t="shared" si="77"/>
        <v>0</v>
      </c>
      <c r="I320" s="543">
        <f t="shared" si="77"/>
        <v>0</v>
      </c>
      <c r="J320" s="543">
        <f t="shared" si="77"/>
        <v>0</v>
      </c>
      <c r="K320" s="543">
        <f t="shared" si="77"/>
        <v>0</v>
      </c>
      <c r="L320" s="544">
        <f t="shared" si="77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8">+F39</f>
        <v>0</v>
      </c>
      <c r="G321" s="541">
        <f t="shared" si="78"/>
        <v>0</v>
      </c>
      <c r="H321" s="542">
        <f t="shared" si="78"/>
        <v>0</v>
      </c>
      <c r="I321" s="543">
        <f t="shared" si="78"/>
        <v>0</v>
      </c>
      <c r="J321" s="543">
        <f t="shared" si="78"/>
        <v>0</v>
      </c>
      <c r="K321" s="543">
        <f t="shared" si="78"/>
        <v>0</v>
      </c>
      <c r="L321" s="544">
        <f t="shared" si="78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9">+F40</f>
        <v>0</v>
      </c>
      <c r="G322" s="541">
        <f t="shared" si="79"/>
        <v>0</v>
      </c>
      <c r="H322" s="542">
        <f t="shared" si="79"/>
        <v>0</v>
      </c>
      <c r="I322" s="543">
        <f t="shared" si="79"/>
        <v>0</v>
      </c>
      <c r="J322" s="543">
        <f t="shared" si="79"/>
        <v>0</v>
      </c>
      <c r="K322" s="543">
        <f t="shared" si="79"/>
        <v>0</v>
      </c>
      <c r="L322" s="544">
        <f t="shared" si="79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80">+F38</f>
        <v>0</v>
      </c>
      <c r="G323" s="541">
        <f t="shared" si="80"/>
        <v>0</v>
      </c>
      <c r="H323" s="542">
        <f t="shared" si="80"/>
        <v>0</v>
      </c>
      <c r="I323" s="543">
        <f t="shared" si="80"/>
        <v>0</v>
      </c>
      <c r="J323" s="543">
        <f t="shared" si="80"/>
        <v>0</v>
      </c>
      <c r="K323" s="543">
        <f t="shared" si="80"/>
        <v>0</v>
      </c>
      <c r="L323" s="544">
        <f t="shared" si="80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1">SUM(G326:G332)</f>
        <v>0</v>
      </c>
      <c r="H325" s="473">
        <f t="shared" si="81"/>
        <v>0</v>
      </c>
      <c r="I325" s="471">
        <f t="shared" si="81"/>
        <v>0</v>
      </c>
      <c r="J325" s="471">
        <f t="shared" si="81"/>
        <v>0</v>
      </c>
      <c r="K325" s="471">
        <f t="shared" si="81"/>
        <v>0</v>
      </c>
      <c r="L325" s="472">
        <f t="shared" si="81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9">G318-G325</f>
        <v>0</v>
      </c>
      <c r="H334" s="473">
        <f t="shared" si="89"/>
        <v>0</v>
      </c>
      <c r="I334" s="471">
        <f t="shared" si="89"/>
        <v>0</v>
      </c>
      <c r="J334" s="471">
        <f t="shared" si="89"/>
        <v>0</v>
      </c>
      <c r="K334" s="471">
        <f t="shared" si="89"/>
        <v>0</v>
      </c>
      <c r="L334" s="472">
        <f t="shared" si="89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90">IF(G318=0,"-",G334/G318)</f>
        <v>-</v>
      </c>
      <c r="H335" s="553" t="str">
        <f t="shared" si="90"/>
        <v>-</v>
      </c>
      <c r="I335" s="554" t="str">
        <f t="shared" si="90"/>
        <v>-</v>
      </c>
      <c r="J335" s="554" t="str">
        <f t="shared" si="90"/>
        <v>-</v>
      </c>
      <c r="K335" s="554" t="str">
        <f t="shared" si="90"/>
        <v>-</v>
      </c>
      <c r="L335" s="555" t="str">
        <f t="shared" si="90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1">(E334+E326)/E318</f>
        <v>#DIV/0!</v>
      </c>
      <c r="F336" s="559" t="e">
        <f t="shared" si="91"/>
        <v>#DIV/0!</v>
      </c>
      <c r="G336" s="560" t="e">
        <f t="shared" si="91"/>
        <v>#DIV/0!</v>
      </c>
      <c r="H336" s="561" t="e">
        <f t="shared" si="91"/>
        <v>#DIV/0!</v>
      </c>
      <c r="I336" s="562" t="e">
        <f t="shared" si="91"/>
        <v>#DIV/0!</v>
      </c>
      <c r="J336" s="562" t="e">
        <f t="shared" si="91"/>
        <v>#DIV/0!</v>
      </c>
      <c r="K336" s="562" t="e">
        <f t="shared" si="91"/>
        <v>#DIV/0!</v>
      </c>
      <c r="L336" s="563" t="e">
        <f t="shared" si="91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2">SUM(E339:E341)</f>
        <v>0</v>
      </c>
      <c r="F338" s="471">
        <f t="shared" si="92"/>
        <v>0</v>
      </c>
      <c r="G338" s="472">
        <f t="shared" si="92"/>
        <v>0</v>
      </c>
      <c r="H338" s="473">
        <f t="shared" si="92"/>
        <v>0</v>
      </c>
      <c r="I338" s="471">
        <f>SUM(I339:I341)</f>
        <v>0</v>
      </c>
      <c r="J338" s="471">
        <f t="shared" si="92"/>
        <v>0</v>
      </c>
      <c r="K338" s="471">
        <f t="shared" si="92"/>
        <v>0</v>
      </c>
      <c r="L338" s="472">
        <f t="shared" si="92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3">SUM(F342:F343)</f>
        <v>0</v>
      </c>
      <c r="G341" s="577">
        <f t="shared" si="93"/>
        <v>0</v>
      </c>
      <c r="H341" s="578">
        <f>SUM(H342:H343)</f>
        <v>0</v>
      </c>
      <c r="I341" s="579">
        <f t="shared" si="93"/>
        <v>0</v>
      </c>
      <c r="J341" s="579">
        <f t="shared" si="93"/>
        <v>0</v>
      </c>
      <c r="K341" s="579">
        <f t="shared" si="93"/>
        <v>0</v>
      </c>
      <c r="L341" s="580">
        <f t="shared" si="93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4">SUM(E345:E347)</f>
        <v>0</v>
      </c>
      <c r="F344" s="471">
        <f t="shared" si="94"/>
        <v>0</v>
      </c>
      <c r="G344" s="472">
        <f t="shared" si="94"/>
        <v>0</v>
      </c>
      <c r="H344" s="473">
        <f t="shared" si="94"/>
        <v>0</v>
      </c>
      <c r="I344" s="471">
        <f t="shared" si="94"/>
        <v>0</v>
      </c>
      <c r="J344" s="471">
        <f t="shared" si="94"/>
        <v>0</v>
      </c>
      <c r="K344" s="471">
        <f t="shared" si="94"/>
        <v>0</v>
      </c>
      <c r="L344" s="472">
        <f t="shared" si="94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5">SUM(E348:E349)</f>
        <v>0</v>
      </c>
      <c r="F347" s="576">
        <f t="shared" si="95"/>
        <v>0</v>
      </c>
      <c r="G347" s="577">
        <f t="shared" si="95"/>
        <v>0</v>
      </c>
      <c r="H347" s="578">
        <f t="shared" si="95"/>
        <v>0</v>
      </c>
      <c r="I347" s="579">
        <f t="shared" si="95"/>
        <v>0</v>
      </c>
      <c r="J347" s="579">
        <f t="shared" si="95"/>
        <v>0</v>
      </c>
      <c r="K347" s="579">
        <f t="shared" si="95"/>
        <v>0</v>
      </c>
      <c r="L347" s="580">
        <f t="shared" si="95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6">E334+E338-E344</f>
        <v>0</v>
      </c>
      <c r="F351" s="471">
        <f t="shared" si="96"/>
        <v>0</v>
      </c>
      <c r="G351" s="472">
        <f t="shared" si="96"/>
        <v>0</v>
      </c>
      <c r="H351" s="473">
        <f t="shared" si="96"/>
        <v>0</v>
      </c>
      <c r="I351" s="471">
        <f t="shared" si="96"/>
        <v>0</v>
      </c>
      <c r="J351" s="471">
        <f t="shared" si="96"/>
        <v>0</v>
      </c>
      <c r="K351" s="471">
        <f t="shared" si="96"/>
        <v>0</v>
      </c>
      <c r="L351" s="472">
        <f t="shared" si="96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7">SUM(E354:E358)</f>
        <v>0</v>
      </c>
      <c r="F353" s="586">
        <f t="shared" si="97"/>
        <v>0</v>
      </c>
      <c r="G353" s="587">
        <f t="shared" si="97"/>
        <v>0</v>
      </c>
      <c r="H353" s="588">
        <f t="shared" si="97"/>
        <v>0</v>
      </c>
      <c r="I353" s="589">
        <f t="shared" si="97"/>
        <v>0</v>
      </c>
      <c r="J353" s="589">
        <f t="shared" si="97"/>
        <v>0</v>
      </c>
      <c r="K353" s="589">
        <f t="shared" si="97"/>
        <v>0</v>
      </c>
      <c r="L353" s="590">
        <f t="shared" si="97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8">SUM(E360:E363)</f>
        <v>0</v>
      </c>
      <c r="F359" s="586">
        <f t="shared" si="98"/>
        <v>0</v>
      </c>
      <c r="G359" s="587">
        <f t="shared" si="98"/>
        <v>0</v>
      </c>
      <c r="H359" s="588">
        <f t="shared" si="98"/>
        <v>0</v>
      </c>
      <c r="I359" s="589">
        <f t="shared" si="98"/>
        <v>0</v>
      </c>
      <c r="J359" s="589">
        <f t="shared" si="98"/>
        <v>0</v>
      </c>
      <c r="K359" s="589">
        <f t="shared" si="98"/>
        <v>0</v>
      </c>
      <c r="L359" s="590">
        <f t="shared" si="98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9">E351+E353-E359</f>
        <v>0</v>
      </c>
      <c r="F365" s="471">
        <f t="shared" si="99"/>
        <v>0</v>
      </c>
      <c r="G365" s="472">
        <f t="shared" si="99"/>
        <v>0</v>
      </c>
      <c r="H365" s="473">
        <f t="shared" si="99"/>
        <v>0</v>
      </c>
      <c r="I365" s="471">
        <f t="shared" si="99"/>
        <v>0</v>
      </c>
      <c r="J365" s="471">
        <f t="shared" si="99"/>
        <v>0</v>
      </c>
      <c r="K365" s="471">
        <f t="shared" si="99"/>
        <v>0</v>
      </c>
      <c r="L365" s="472">
        <f t="shared" si="99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100">F365+F367</f>
        <v>0</v>
      </c>
      <c r="G368" s="587">
        <f t="shared" si="100"/>
        <v>0</v>
      </c>
      <c r="H368" s="588">
        <f t="shared" si="100"/>
        <v>0</v>
      </c>
      <c r="I368" s="589">
        <f t="shared" si="100"/>
        <v>0</v>
      </c>
      <c r="J368" s="589">
        <f t="shared" si="100"/>
        <v>0</v>
      </c>
      <c r="K368" s="589">
        <f t="shared" si="100"/>
        <v>0</v>
      </c>
      <c r="L368" s="590">
        <f t="shared" si="100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1">IF(F368=0,"-",F370/F368)</f>
        <v>-</v>
      </c>
      <c r="G371" s="617" t="str">
        <f t="shared" si="101"/>
        <v>-</v>
      </c>
      <c r="H371" s="618" t="str">
        <f t="shared" si="101"/>
        <v>-</v>
      </c>
      <c r="I371" s="619" t="str">
        <f t="shared" si="101"/>
        <v>-</v>
      </c>
      <c r="J371" s="619" t="str">
        <f t="shared" si="101"/>
        <v>-</v>
      </c>
      <c r="K371" s="619" t="str">
        <f t="shared" si="101"/>
        <v>-</v>
      </c>
      <c r="L371" s="620" t="str">
        <f t="shared" si="101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.75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2">IF(E318=0,"-",E374/E318)</f>
        <v>-</v>
      </c>
      <c r="F375" s="634" t="str">
        <f t="shared" si="102"/>
        <v>-</v>
      </c>
      <c r="G375" s="635" t="str">
        <f t="shared" si="102"/>
        <v>-</v>
      </c>
      <c r="H375" s="633" t="str">
        <f t="shared" si="102"/>
        <v>-</v>
      </c>
      <c r="I375" s="634" t="str">
        <f t="shared" si="102"/>
        <v>-</v>
      </c>
      <c r="J375" s="634" t="str">
        <f t="shared" si="102"/>
        <v>-</v>
      </c>
      <c r="K375" s="634" t="str">
        <f t="shared" si="102"/>
        <v>-</v>
      </c>
      <c r="L375" s="635" t="str">
        <f t="shared" si="102"/>
        <v>-</v>
      </c>
    </row>
    <row r="376" spans="2:12" s="548" customFormat="1" ht="12.75" outlineLevel="1" thickBot="1">
      <c r="B376" s="1027"/>
      <c r="C376" s="1113" t="s">
        <v>306</v>
      </c>
      <c r="D376" s="1114"/>
      <c r="E376" s="1115" t="str">
        <f>IF(E318=0,"-",(E374+E326)/E318)</f>
        <v>-</v>
      </c>
      <c r="F376" s="1116" t="str">
        <f t="shared" ref="F376:L376" si="103">IF(F318=0,"-",(F374+F326)/F318)</f>
        <v>-</v>
      </c>
      <c r="G376" s="1117" t="str">
        <f t="shared" si="103"/>
        <v>-</v>
      </c>
      <c r="H376" s="1115" t="str">
        <f t="shared" si="103"/>
        <v>-</v>
      </c>
      <c r="I376" s="1116" t="str">
        <f t="shared" si="103"/>
        <v>-</v>
      </c>
      <c r="J376" s="1116" t="str">
        <f t="shared" si="103"/>
        <v>-</v>
      </c>
      <c r="K376" s="1116" t="str">
        <f t="shared" si="103"/>
        <v>-</v>
      </c>
      <c r="L376" s="1117" t="str">
        <f t="shared" si="103"/>
        <v>-</v>
      </c>
    </row>
    <row r="377" spans="2:12" ht="12.75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4">E334+E326</f>
        <v>0</v>
      </c>
      <c r="F378" s="639">
        <f t="shared" si="104"/>
        <v>0</v>
      </c>
      <c r="G378" s="639">
        <f t="shared" si="104"/>
        <v>0</v>
      </c>
      <c r="H378" s="639">
        <f t="shared" si="104"/>
        <v>0</v>
      </c>
      <c r="I378" s="639">
        <f t="shared" si="104"/>
        <v>0</v>
      </c>
      <c r="J378" s="639">
        <f t="shared" si="104"/>
        <v>0</v>
      </c>
      <c r="K378" s="639">
        <f t="shared" si="104"/>
        <v>0</v>
      </c>
      <c r="L378" s="639">
        <f t="shared" si="104"/>
        <v>0</v>
      </c>
    </row>
    <row r="379" spans="2:12" s="637" customFormat="1" outlineLevel="1">
      <c r="C379" s="638" t="s">
        <v>32</v>
      </c>
      <c r="D379" s="638"/>
      <c r="E379" s="639">
        <f t="shared" ref="E379:L379" si="105">E374+E326</f>
        <v>0</v>
      </c>
      <c r="F379" s="639">
        <f t="shared" si="105"/>
        <v>0</v>
      </c>
      <c r="G379" s="639">
        <f t="shared" si="105"/>
        <v>0</v>
      </c>
      <c r="H379" s="639">
        <f t="shared" si="105"/>
        <v>0</v>
      </c>
      <c r="I379" s="639">
        <f t="shared" si="105"/>
        <v>0</v>
      </c>
      <c r="J379" s="639">
        <f t="shared" si="105"/>
        <v>0</v>
      </c>
      <c r="K379" s="639">
        <f t="shared" si="105"/>
        <v>0</v>
      </c>
      <c r="L379" s="639">
        <f t="shared" si="105"/>
        <v>0</v>
      </c>
    </row>
    <row r="380" spans="2:12" s="637" customFormat="1" outlineLevel="1">
      <c r="C380" s="638" t="s">
        <v>123</v>
      </c>
      <c r="D380" s="638"/>
      <c r="E380" s="639">
        <f t="shared" ref="E380:L380" si="106">E379+E347</f>
        <v>0</v>
      </c>
      <c r="F380" s="639">
        <f t="shared" si="106"/>
        <v>0</v>
      </c>
      <c r="G380" s="639">
        <f t="shared" si="106"/>
        <v>0</v>
      </c>
      <c r="H380" s="639">
        <f t="shared" si="106"/>
        <v>0</v>
      </c>
      <c r="I380" s="639">
        <f t="shared" si="106"/>
        <v>0</v>
      </c>
      <c r="J380" s="639">
        <f t="shared" si="106"/>
        <v>0</v>
      </c>
      <c r="K380" s="639">
        <f t="shared" si="106"/>
        <v>0</v>
      </c>
      <c r="L380" s="639">
        <f t="shared" si="106"/>
        <v>0</v>
      </c>
    </row>
    <row r="381" spans="2:12" outlineLevel="1"/>
    <row r="382" spans="2:12" s="644" customFormat="1" ht="13.5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0" t="s">
        <v>250</v>
      </c>
      <c r="F383" s="1151"/>
      <c r="G383" s="1152"/>
      <c r="H383" s="1153" t="s">
        <v>251</v>
      </c>
      <c r="I383" s="1154"/>
      <c r="J383" s="1154"/>
      <c r="K383" s="1154"/>
      <c r="L383" s="1155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2020</v>
      </c>
      <c r="F384" s="25">
        <f t="shared" ref="F384:L384" si="107">F$7</f>
        <v>2021</v>
      </c>
      <c r="G384" s="177">
        <f t="shared" si="107"/>
        <v>2022</v>
      </c>
      <c r="H384" s="73">
        <f t="shared" si="107"/>
        <v>2023</v>
      </c>
      <c r="I384" s="29">
        <f t="shared" si="107"/>
        <v>2024</v>
      </c>
      <c r="J384" s="29">
        <f t="shared" si="107"/>
        <v>2025</v>
      </c>
      <c r="K384" s="29">
        <f t="shared" si="107"/>
        <v>2026</v>
      </c>
      <c r="L384" s="30">
        <f t="shared" si="107"/>
        <v>2027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2020</v>
      </c>
      <c r="P385" s="85">
        <f>+F384</f>
        <v>2021</v>
      </c>
      <c r="R385" s="226">
        <f>+G384</f>
        <v>2022</v>
      </c>
      <c r="T385" s="85">
        <f>+H384</f>
        <v>2023</v>
      </c>
      <c r="V385" s="85">
        <f>+I384</f>
        <v>2024</v>
      </c>
      <c r="X385" s="226">
        <f>+J384</f>
        <v>2025</v>
      </c>
      <c r="Z385" s="226">
        <f>+K384</f>
        <v>2026</v>
      </c>
      <c r="AB385" s="226">
        <f>+L384</f>
        <v>2027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8">E387+E388+E397+E398+E399</f>
        <v>0</v>
      </c>
      <c r="F386" s="471">
        <f t="shared" si="108"/>
        <v>0</v>
      </c>
      <c r="G386" s="472">
        <f t="shared" si="108"/>
        <v>0</v>
      </c>
      <c r="H386" s="473">
        <f t="shared" si="108"/>
        <v>0</v>
      </c>
      <c r="I386" s="471">
        <f t="shared" si="108"/>
        <v>0</v>
      </c>
      <c r="J386" s="471">
        <f t="shared" si="108"/>
        <v>0</v>
      </c>
      <c r="K386" s="471">
        <f t="shared" si="108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5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5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5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5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307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1">SUM(E400:E401)</f>
        <v>0</v>
      </c>
      <c r="F399" s="576">
        <f t="shared" si="111"/>
        <v>0</v>
      </c>
      <c r="G399" s="577">
        <f t="shared" si="111"/>
        <v>0</v>
      </c>
      <c r="H399" s="578">
        <f t="shared" si="111"/>
        <v>0</v>
      </c>
      <c r="I399" s="579">
        <f t="shared" si="111"/>
        <v>0</v>
      </c>
      <c r="J399" s="579">
        <f t="shared" si="111"/>
        <v>0</v>
      </c>
      <c r="K399" s="579">
        <f t="shared" si="111"/>
        <v>0</v>
      </c>
      <c r="L399" s="580">
        <f t="shared" si="111"/>
        <v>0</v>
      </c>
    </row>
    <row r="400" spans="2:55" s="652" customFormat="1" ht="10.5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5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2">SUM(E404+E405+E410+E413)</f>
        <v>0</v>
      </c>
      <c r="F403" s="471">
        <f t="shared" si="112"/>
        <v>0</v>
      </c>
      <c r="G403" s="472">
        <f t="shared" si="112"/>
        <v>0</v>
      </c>
      <c r="H403" s="473">
        <f t="shared" si="112"/>
        <v>0</v>
      </c>
      <c r="I403" s="471">
        <f t="shared" si="112"/>
        <v>0</v>
      </c>
      <c r="J403" s="471">
        <f t="shared" si="112"/>
        <v>0</v>
      </c>
      <c r="K403" s="471">
        <f t="shared" si="112"/>
        <v>0</v>
      </c>
      <c r="L403" s="472">
        <f t="shared" si="112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69"/>
      <c r="N405" s="11"/>
      <c r="O405" s="669"/>
    </row>
    <row r="406" spans="2:15" s="663" customFormat="1" ht="10.5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5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1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5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5">E386+E403</f>
        <v>0</v>
      </c>
      <c r="F415" s="471">
        <f t="shared" si="115"/>
        <v>0</v>
      </c>
      <c r="G415" s="472">
        <f t="shared" si="115"/>
        <v>0</v>
      </c>
      <c r="H415" s="473">
        <f t="shared" si="115"/>
        <v>0</v>
      </c>
      <c r="I415" s="471">
        <f t="shared" si="115"/>
        <v>0</v>
      </c>
      <c r="J415" s="471">
        <f t="shared" si="115"/>
        <v>0</v>
      </c>
      <c r="K415" s="471">
        <f t="shared" si="115"/>
        <v>0</v>
      </c>
      <c r="L415" s="472">
        <f t="shared" si="115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6">SUM(F418:F422)</f>
        <v>0</v>
      </c>
      <c r="G417" s="472">
        <f t="shared" si="116"/>
        <v>0</v>
      </c>
      <c r="H417" s="473">
        <f t="shared" si="116"/>
        <v>0</v>
      </c>
      <c r="I417" s="471">
        <f t="shared" si="116"/>
        <v>0</v>
      </c>
      <c r="J417" s="471">
        <f t="shared" si="116"/>
        <v>0</v>
      </c>
      <c r="K417" s="471">
        <f t="shared" si="116"/>
        <v>0</v>
      </c>
      <c r="L417" s="472">
        <f t="shared" si="116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.75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.75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7">E425+E429+E434+E445</f>
        <v>0</v>
      </c>
      <c r="F424" s="471">
        <f>F425+F429+F434+F445</f>
        <v>0</v>
      </c>
      <c r="G424" s="472">
        <f t="shared" si="117"/>
        <v>0</v>
      </c>
      <c r="H424" s="473">
        <f t="shared" si="117"/>
        <v>0</v>
      </c>
      <c r="I424" s="471">
        <f t="shared" si="117"/>
        <v>0</v>
      </c>
      <c r="J424" s="471">
        <f t="shared" si="117"/>
        <v>0</v>
      </c>
      <c r="K424" s="471">
        <f t="shared" si="117"/>
        <v>0</v>
      </c>
      <c r="L424" s="472">
        <f t="shared" si="117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5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5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2" customFormat="1" ht="10.5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5" outlineLevel="1">
      <c r="C431" s="1051" t="s">
        <v>107</v>
      </c>
      <c r="D431" s="693"/>
      <c r="E431" s="694">
        <f t="shared" ref="E431:L431" si="120">E432+E433</f>
        <v>0</v>
      </c>
      <c r="F431" s="695">
        <f t="shared" si="120"/>
        <v>0</v>
      </c>
      <c r="G431" s="696">
        <f t="shared" si="120"/>
        <v>0</v>
      </c>
      <c r="H431" s="697">
        <f t="shared" si="120"/>
        <v>0</v>
      </c>
      <c r="I431" s="698">
        <f t="shared" si="120"/>
        <v>0</v>
      </c>
      <c r="J431" s="698">
        <f t="shared" si="120"/>
        <v>0</v>
      </c>
      <c r="K431" s="698">
        <f t="shared" si="120"/>
        <v>0</v>
      </c>
      <c r="L431" s="699">
        <f t="shared" si="120"/>
        <v>0</v>
      </c>
    </row>
    <row r="432" spans="2:12" s="700" customFormat="1" ht="10.5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5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2" customFormat="1" ht="10.5" outlineLevel="1">
      <c r="C435" s="1051" t="s">
        <v>106</v>
      </c>
      <c r="D435" s="693"/>
      <c r="E435" s="694">
        <f>SUM(E436:E437)</f>
        <v>0</v>
      </c>
      <c r="F435" s="695">
        <f t="shared" ref="F435:L435" si="122">SUM(F436:F437)</f>
        <v>0</v>
      </c>
      <c r="G435" s="696">
        <f t="shared" si="122"/>
        <v>0</v>
      </c>
      <c r="H435" s="697">
        <f t="shared" si="122"/>
        <v>0</v>
      </c>
      <c r="I435" s="698">
        <f t="shared" si="122"/>
        <v>0</v>
      </c>
      <c r="J435" s="698">
        <f t="shared" si="122"/>
        <v>0</v>
      </c>
      <c r="K435" s="698">
        <f t="shared" si="122"/>
        <v>0</v>
      </c>
      <c r="L435" s="699">
        <f t="shared" si="122"/>
        <v>0</v>
      </c>
    </row>
    <row r="436" spans="2:17" s="661" customFormat="1" ht="10.5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5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5" outlineLevel="1">
      <c r="C438" s="1051" t="s">
        <v>107</v>
      </c>
      <c r="D438" s="693"/>
      <c r="E438" s="694">
        <f t="shared" ref="E438:L438" si="123">SUM(E439:E443)</f>
        <v>0</v>
      </c>
      <c r="F438" s="695">
        <f t="shared" si="123"/>
        <v>0</v>
      </c>
      <c r="G438" s="696">
        <f t="shared" si="123"/>
        <v>0</v>
      </c>
      <c r="H438" s="697">
        <f t="shared" si="123"/>
        <v>0</v>
      </c>
      <c r="I438" s="698">
        <f t="shared" si="123"/>
        <v>0</v>
      </c>
      <c r="J438" s="698">
        <f t="shared" si="123"/>
        <v>0</v>
      </c>
      <c r="K438" s="698">
        <f t="shared" si="123"/>
        <v>0</v>
      </c>
      <c r="L438" s="699">
        <f t="shared" si="123"/>
        <v>0</v>
      </c>
    </row>
    <row r="439" spans="2:17" s="700" customFormat="1" ht="10.5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5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5">
      <c r="C441" s="1054" t="s">
        <v>308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5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5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5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3" customFormat="1" ht="10.5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5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5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.75" thickBot="1">
      <c r="C450" s="1056" t="s">
        <v>59</v>
      </c>
      <c r="D450" s="1057"/>
      <c r="E450" s="1058">
        <f t="shared" ref="E450:L450" si="125">E417+E424</f>
        <v>0</v>
      </c>
      <c r="F450" s="1059">
        <f t="shared" si="125"/>
        <v>0</v>
      </c>
      <c r="G450" s="1060">
        <f t="shared" si="125"/>
        <v>0</v>
      </c>
      <c r="H450" s="1061">
        <f t="shared" si="125"/>
        <v>0</v>
      </c>
      <c r="I450" s="1059">
        <f t="shared" si="125"/>
        <v>0</v>
      </c>
      <c r="J450" s="1059">
        <f t="shared" si="125"/>
        <v>0</v>
      </c>
      <c r="K450" s="1059">
        <f t="shared" si="125"/>
        <v>0</v>
      </c>
      <c r="L450" s="1060">
        <f t="shared" si="125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6">E415-E450</f>
        <v>0</v>
      </c>
      <c r="F452" s="727">
        <f t="shared" si="126"/>
        <v>0</v>
      </c>
      <c r="G452" s="727">
        <f t="shared" si="126"/>
        <v>0</v>
      </c>
      <c r="H452" s="727">
        <f t="shared" si="126"/>
        <v>0</v>
      </c>
      <c r="I452" s="727">
        <f t="shared" si="126"/>
        <v>0</v>
      </c>
      <c r="J452" s="727">
        <f t="shared" si="126"/>
        <v>0</v>
      </c>
      <c r="K452" s="727">
        <f t="shared" si="126"/>
        <v>0</v>
      </c>
      <c r="L452" s="727">
        <f t="shared" si="126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0" t="s">
        <v>250</v>
      </c>
      <c r="F454" s="1151"/>
      <c r="G454" s="1152"/>
      <c r="H454" s="1153" t="s">
        <v>251</v>
      </c>
      <c r="I454" s="1154"/>
      <c r="J454" s="1154"/>
      <c r="K454" s="1154"/>
      <c r="L454" s="1155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2020</v>
      </c>
      <c r="F455" s="25">
        <f t="shared" ref="F455:L455" si="127">F$7</f>
        <v>2021</v>
      </c>
      <c r="G455" s="177">
        <f t="shared" si="127"/>
        <v>2022</v>
      </c>
      <c r="H455" s="73">
        <f t="shared" si="127"/>
        <v>2023</v>
      </c>
      <c r="I455" s="29">
        <f t="shared" si="127"/>
        <v>2024</v>
      </c>
      <c r="J455" s="29">
        <f t="shared" si="127"/>
        <v>2025</v>
      </c>
      <c r="K455" s="29">
        <f t="shared" si="127"/>
        <v>2026</v>
      </c>
      <c r="L455" s="30">
        <f t="shared" si="127"/>
        <v>2027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4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8">E374</f>
        <v>0</v>
      </c>
      <c r="F458" s="471">
        <f t="shared" si="128"/>
        <v>0</v>
      </c>
      <c r="G458" s="472">
        <f t="shared" si="128"/>
        <v>0</v>
      </c>
      <c r="H458" s="473">
        <f t="shared" si="128"/>
        <v>0</v>
      </c>
      <c r="I458" s="471">
        <f t="shared" si="128"/>
        <v>0</v>
      </c>
      <c r="J458" s="471">
        <f t="shared" si="128"/>
        <v>0</v>
      </c>
      <c r="K458" s="471">
        <f t="shared" si="128"/>
        <v>0</v>
      </c>
      <c r="L458" s="472">
        <f t="shared" si="128"/>
        <v>0</v>
      </c>
    </row>
    <row r="459" spans="2:18">
      <c r="B459" s="862"/>
      <c r="C459" s="955" t="s">
        <v>62</v>
      </c>
      <c r="D459" s="736"/>
      <c r="E459" s="737">
        <f t="shared" ref="E459:L459" si="129">SUM(E460:E468)</f>
        <v>0</v>
      </c>
      <c r="F459" s="738">
        <f t="shared" si="129"/>
        <v>0</v>
      </c>
      <c r="G459" s="739">
        <f t="shared" si="129"/>
        <v>0</v>
      </c>
      <c r="H459" s="740">
        <f t="shared" si="129"/>
        <v>0</v>
      </c>
      <c r="I459" s="741">
        <f t="shared" si="129"/>
        <v>0</v>
      </c>
      <c r="J459" s="741">
        <f t="shared" si="129"/>
        <v>0</v>
      </c>
      <c r="K459" s="741">
        <f t="shared" si="129"/>
        <v>0</v>
      </c>
      <c r="L459" s="742">
        <f t="shared" si="129"/>
        <v>0</v>
      </c>
    </row>
    <row r="460" spans="2:18">
      <c r="B460" s="862"/>
      <c r="C460" s="956" t="s">
        <v>63</v>
      </c>
      <c r="D460" s="743"/>
      <c r="E460" s="737">
        <f t="shared" ref="E460:L460" si="130">E326</f>
        <v>0</v>
      </c>
      <c r="F460" s="738">
        <f t="shared" si="130"/>
        <v>0</v>
      </c>
      <c r="G460" s="739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1">E458+E459</f>
        <v>0</v>
      </c>
      <c r="F469" s="471">
        <f t="shared" si="131"/>
        <v>0</v>
      </c>
      <c r="G469" s="472">
        <f t="shared" si="131"/>
        <v>0</v>
      </c>
      <c r="H469" s="473">
        <f t="shared" si="131"/>
        <v>0</v>
      </c>
      <c r="I469" s="471">
        <f t="shared" si="131"/>
        <v>0</v>
      </c>
      <c r="J469" s="471">
        <f t="shared" si="131"/>
        <v>0</v>
      </c>
      <c r="K469" s="471">
        <f t="shared" si="131"/>
        <v>0</v>
      </c>
      <c r="L469" s="472">
        <f t="shared" si="131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4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2">SUM(E473:E479)-E474</f>
        <v>0</v>
      </c>
      <c r="F472" s="749">
        <f t="shared" si="132"/>
        <v>0</v>
      </c>
      <c r="G472" s="750">
        <f t="shared" si="132"/>
        <v>0</v>
      </c>
      <c r="H472" s="751">
        <f t="shared" si="132"/>
        <v>0</v>
      </c>
      <c r="I472" s="752">
        <f t="shared" si="132"/>
        <v>0</v>
      </c>
      <c r="J472" s="752">
        <f t="shared" si="132"/>
        <v>0</v>
      </c>
      <c r="K472" s="752">
        <f t="shared" si="132"/>
        <v>0</v>
      </c>
      <c r="L472" s="753">
        <f t="shared" si="132"/>
        <v>0</v>
      </c>
    </row>
    <row r="473" spans="2:12" ht="24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3">SUM(E475:E478)</f>
        <v>0</v>
      </c>
      <c r="F474" s="755">
        <f t="shared" si="133"/>
        <v>0</v>
      </c>
      <c r="G474" s="756">
        <f t="shared" si="133"/>
        <v>0</v>
      </c>
      <c r="H474" s="757">
        <f>SUM(H475:H478)</f>
        <v>0</v>
      </c>
      <c r="I474" s="758">
        <f t="shared" si="133"/>
        <v>0</v>
      </c>
      <c r="J474" s="758">
        <f t="shared" si="133"/>
        <v>0</v>
      </c>
      <c r="K474" s="758">
        <f t="shared" si="133"/>
        <v>0</v>
      </c>
      <c r="L474" s="759">
        <f t="shared" si="133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4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4">SUM(E483:E484)</f>
        <v>0</v>
      </c>
      <c r="F482" s="755">
        <f t="shared" si="134"/>
        <v>0</v>
      </c>
      <c r="G482" s="756">
        <f t="shared" si="134"/>
        <v>0</v>
      </c>
      <c r="H482" s="757">
        <f t="shared" si="134"/>
        <v>0</v>
      </c>
      <c r="I482" s="758">
        <f t="shared" si="134"/>
        <v>0</v>
      </c>
      <c r="J482" s="758">
        <f t="shared" si="134"/>
        <v>0</v>
      </c>
      <c r="K482" s="758">
        <f t="shared" si="134"/>
        <v>0</v>
      </c>
      <c r="L482" s="759">
        <f t="shared" si="134"/>
        <v>0</v>
      </c>
    </row>
    <row r="483" spans="2:12" outlineLevel="1">
      <c r="B483" s="862"/>
      <c r="C483" s="957" t="s">
        <v>309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5">E472+E480</f>
        <v>0</v>
      </c>
      <c r="F486" s="471">
        <f t="shared" si="135"/>
        <v>0</v>
      </c>
      <c r="G486" s="472">
        <f t="shared" si="135"/>
        <v>0</v>
      </c>
      <c r="H486" s="473">
        <f t="shared" si="135"/>
        <v>0</v>
      </c>
      <c r="I486" s="471">
        <f t="shared" si="135"/>
        <v>0</v>
      </c>
      <c r="J486" s="471">
        <f t="shared" si="135"/>
        <v>0</v>
      </c>
      <c r="K486" s="471">
        <f t="shared" si="135"/>
        <v>0</v>
      </c>
      <c r="L486" s="472">
        <f t="shared" si="135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 ht="24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6">SUM(E490:E492)</f>
        <v>0</v>
      </c>
      <c r="F489" s="749">
        <f t="shared" si="136"/>
        <v>0</v>
      </c>
      <c r="G489" s="750">
        <f t="shared" si="136"/>
        <v>0</v>
      </c>
      <c r="H489" s="751">
        <f t="shared" si="136"/>
        <v>0</v>
      </c>
      <c r="I489" s="752">
        <f t="shared" si="136"/>
        <v>0</v>
      </c>
      <c r="J489" s="752">
        <f t="shared" si="136"/>
        <v>0</v>
      </c>
      <c r="K489" s="752">
        <f t="shared" si="136"/>
        <v>0</v>
      </c>
      <c r="L489" s="753">
        <f t="shared" si="136"/>
        <v>0</v>
      </c>
    </row>
    <row r="490" spans="2:12" ht="24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7">SUM(E494:E498)</f>
        <v>0</v>
      </c>
      <c r="F493" s="749">
        <f t="shared" si="137"/>
        <v>0</v>
      </c>
      <c r="G493" s="750">
        <f>SUM(G494:G498)</f>
        <v>0</v>
      </c>
      <c r="H493" s="751">
        <f t="shared" si="137"/>
        <v>0</v>
      </c>
      <c r="I493" s="752">
        <f t="shared" si="137"/>
        <v>0</v>
      </c>
      <c r="J493" s="752">
        <f t="shared" si="137"/>
        <v>0</v>
      </c>
      <c r="K493" s="752">
        <f t="shared" si="137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8">E489+E493</f>
        <v>0</v>
      </c>
      <c r="F499" s="471">
        <f t="shared" si="138"/>
        <v>0</v>
      </c>
      <c r="G499" s="472">
        <f t="shared" si="138"/>
        <v>0</v>
      </c>
      <c r="H499" s="473">
        <f t="shared" si="138"/>
        <v>0</v>
      </c>
      <c r="I499" s="471">
        <f t="shared" si="138"/>
        <v>0</v>
      </c>
      <c r="J499" s="471">
        <f t="shared" si="138"/>
        <v>0</v>
      </c>
      <c r="K499" s="471">
        <f t="shared" si="138"/>
        <v>0</v>
      </c>
      <c r="L499" s="472">
        <f t="shared" si="138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9">G469+G486+G499</f>
        <v>0</v>
      </c>
      <c r="H501" s="596">
        <f t="shared" si="139"/>
        <v>0</v>
      </c>
      <c r="I501" s="597">
        <f t="shared" si="139"/>
        <v>0</v>
      </c>
      <c r="J501" s="597">
        <f t="shared" si="139"/>
        <v>0</v>
      </c>
      <c r="K501" s="597">
        <f t="shared" si="139"/>
        <v>0</v>
      </c>
      <c r="L501" s="598">
        <f t="shared" si="139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.75" thickBot="1">
      <c r="B503" s="862"/>
      <c r="C503" s="1056" t="s">
        <v>88</v>
      </c>
      <c r="D503" s="1057"/>
      <c r="E503" s="1058">
        <f t="shared" ref="E503:L503" si="140">E502+E501</f>
        <v>0</v>
      </c>
      <c r="F503" s="1059">
        <f t="shared" si="140"/>
        <v>0</v>
      </c>
      <c r="G503" s="1060">
        <f t="shared" si="140"/>
        <v>0</v>
      </c>
      <c r="H503" s="1061">
        <f t="shared" si="140"/>
        <v>0</v>
      </c>
      <c r="I503" s="1059">
        <f t="shared" si="140"/>
        <v>0</v>
      </c>
      <c r="J503" s="1059">
        <f t="shared" si="140"/>
        <v>0</v>
      </c>
      <c r="K503" s="1059">
        <f t="shared" si="140"/>
        <v>0</v>
      </c>
      <c r="L503" s="1060">
        <f t="shared" si="140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2.75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3.5" collapsed="1" thickTop="1" thickBot="1">
      <c r="C510" s="1004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7.25" thickTop="1" thickBot="1">
      <c r="C511" s="864" t="str">
        <f>CONCATENATE("TABELA ",B512)</f>
        <v>TABELA 13</v>
      </c>
      <c r="D511" s="1062"/>
      <c r="E511" s="1150" t="s">
        <v>250</v>
      </c>
      <c r="F511" s="1151"/>
      <c r="G511" s="1152"/>
      <c r="H511" s="1153" t="s">
        <v>251</v>
      </c>
      <c r="I511" s="1154"/>
      <c r="J511" s="1154"/>
      <c r="K511" s="1154"/>
      <c r="L511" s="1155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2020</v>
      </c>
      <c r="F512" s="25">
        <f t="shared" ref="F512:L512" si="142">F$7</f>
        <v>2021</v>
      </c>
      <c r="G512" s="177">
        <f t="shared" si="142"/>
        <v>2022</v>
      </c>
      <c r="H512" s="73">
        <f t="shared" si="142"/>
        <v>2023</v>
      </c>
      <c r="I512" s="29">
        <f t="shared" si="142"/>
        <v>2024</v>
      </c>
      <c r="J512" s="29">
        <f t="shared" si="142"/>
        <v>2025</v>
      </c>
      <c r="K512" s="29">
        <f t="shared" si="142"/>
        <v>2026</v>
      </c>
      <c r="L512" s="30">
        <f t="shared" si="142"/>
        <v>2027</v>
      </c>
    </row>
    <row r="513" spans="1:12" ht="13.5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.75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3">IF(F318=0,"-",F334/F318)</f>
        <v>-</v>
      </c>
      <c r="G515" s="782" t="str">
        <f t="shared" si="143"/>
        <v>-</v>
      </c>
      <c r="H515" s="783" t="str">
        <f t="shared" si="143"/>
        <v>-</v>
      </c>
      <c r="I515" s="784" t="str">
        <f t="shared" si="143"/>
        <v>-</v>
      </c>
      <c r="J515" s="784" t="str">
        <f t="shared" si="143"/>
        <v>-</v>
      </c>
      <c r="K515" s="784" t="str">
        <f t="shared" si="143"/>
        <v>-</v>
      </c>
      <c r="L515" s="785" t="str">
        <f t="shared" si="143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4">IF(F318=0,"-",F374/F318)</f>
        <v>-</v>
      </c>
      <c r="G516" s="782" t="str">
        <f t="shared" si="144"/>
        <v>-</v>
      </c>
      <c r="H516" s="783" t="str">
        <f t="shared" si="144"/>
        <v>-</v>
      </c>
      <c r="I516" s="784" t="str">
        <f t="shared" si="144"/>
        <v>-</v>
      </c>
      <c r="J516" s="784" t="str">
        <f t="shared" si="144"/>
        <v>-</v>
      </c>
      <c r="K516" s="784" t="str">
        <f t="shared" si="144"/>
        <v>-</v>
      </c>
      <c r="L516" s="785" t="str">
        <f t="shared" si="144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5">IF(F417=0,"-",F374/F417)</f>
        <v>-</v>
      </c>
      <c r="G517" s="782" t="str">
        <f t="shared" si="145"/>
        <v>-</v>
      </c>
      <c r="H517" s="783" t="str">
        <f>IF(H417=0,"-",H374/H417)</f>
        <v>-</v>
      </c>
      <c r="I517" s="784" t="str">
        <f t="shared" si="145"/>
        <v>-</v>
      </c>
      <c r="J517" s="784" t="str">
        <f t="shared" si="145"/>
        <v>-</v>
      </c>
      <c r="K517" s="784" t="str">
        <f t="shared" si="145"/>
        <v>-</v>
      </c>
      <c r="L517" s="785" t="str">
        <f t="shared" si="145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6">IF(F415=0,"-",F374/F415)</f>
        <v>-</v>
      </c>
      <c r="G518" s="782" t="str">
        <f t="shared" si="146"/>
        <v>-</v>
      </c>
      <c r="H518" s="783" t="str">
        <f t="shared" si="146"/>
        <v>-</v>
      </c>
      <c r="I518" s="784" t="str">
        <f t="shared" si="146"/>
        <v>-</v>
      </c>
      <c r="J518" s="784" t="str">
        <f t="shared" si="146"/>
        <v>-</v>
      </c>
      <c r="K518" s="784" t="str">
        <f t="shared" si="146"/>
        <v>-</v>
      </c>
      <c r="L518" s="785" t="str">
        <f t="shared" si="146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7">IF(F318=0,"-",(F334+F326)/F318)</f>
        <v>-</v>
      </c>
      <c r="G519" s="617" t="str">
        <f t="shared" si="147"/>
        <v>-</v>
      </c>
      <c r="H519" s="618" t="str">
        <f t="shared" si="147"/>
        <v>-</v>
      </c>
      <c r="I519" s="619" t="str">
        <f t="shared" si="147"/>
        <v>-</v>
      </c>
      <c r="J519" s="619" t="str">
        <f t="shared" si="147"/>
        <v>-</v>
      </c>
      <c r="K519" s="619" t="str">
        <f t="shared" si="147"/>
        <v>-</v>
      </c>
      <c r="L519" s="620" t="str">
        <f t="shared" si="147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8">IF(F434=0,"-",F403/F434)</f>
        <v>-</v>
      </c>
      <c r="G521" s="791" t="str">
        <f t="shared" si="148"/>
        <v>-</v>
      </c>
      <c r="H521" s="792" t="str">
        <f t="shared" si="148"/>
        <v>-</v>
      </c>
      <c r="I521" s="793" t="str">
        <f t="shared" si="148"/>
        <v>-</v>
      </c>
      <c r="J521" s="793" t="str">
        <f t="shared" si="148"/>
        <v>-</v>
      </c>
      <c r="K521" s="793" t="str">
        <f t="shared" si="148"/>
        <v>-</v>
      </c>
      <c r="L521" s="794" t="str">
        <f t="shared" si="148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9">IF(F434=0,"-",(F403-F404)/F434)</f>
        <v>-</v>
      </c>
      <c r="G522" s="791" t="str">
        <f t="shared" si="149"/>
        <v>-</v>
      </c>
      <c r="H522" s="792" t="str">
        <f t="shared" si="149"/>
        <v>-</v>
      </c>
      <c r="I522" s="793" t="str">
        <f t="shared" si="149"/>
        <v>-</v>
      </c>
      <c r="J522" s="793" t="str">
        <f t="shared" si="149"/>
        <v>-</v>
      </c>
      <c r="K522" s="793" t="str">
        <f t="shared" si="149"/>
        <v>-</v>
      </c>
      <c r="L522" s="794" t="str">
        <f t="shared" si="149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50">IF(F434=0,"-",F410/F434)</f>
        <v>-</v>
      </c>
      <c r="G523" s="791" t="str">
        <f t="shared" si="150"/>
        <v>-</v>
      </c>
      <c r="H523" s="792" t="str">
        <f t="shared" si="150"/>
        <v>-</v>
      </c>
      <c r="I523" s="793" t="str">
        <f t="shared" si="150"/>
        <v>-</v>
      </c>
      <c r="J523" s="793" t="str">
        <f t="shared" si="150"/>
        <v>-</v>
      </c>
      <c r="K523" s="793" t="str">
        <f t="shared" si="150"/>
        <v>-</v>
      </c>
      <c r="L523" s="794" t="str">
        <f t="shared" si="150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1">IF(F327=0,"-",F404/F327*365)</f>
        <v>-</v>
      </c>
      <c r="G526" s="802" t="str">
        <f t="shared" si="151"/>
        <v>-</v>
      </c>
      <c r="H526" s="803" t="str">
        <f t="shared" si="151"/>
        <v>-</v>
      </c>
      <c r="I526" s="804" t="str">
        <f t="shared" si="151"/>
        <v>-</v>
      </c>
      <c r="J526" s="804" t="str">
        <f t="shared" si="151"/>
        <v>-</v>
      </c>
      <c r="K526" s="804" t="str">
        <f t="shared" si="151"/>
        <v>-</v>
      </c>
      <c r="L526" s="805" t="str">
        <f t="shared" si="151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2">IF(F318=0,"-",F407/F318*365)</f>
        <v>-</v>
      </c>
      <c r="G527" s="802" t="str">
        <f t="shared" si="152"/>
        <v>-</v>
      </c>
      <c r="H527" s="803" t="str">
        <f t="shared" si="152"/>
        <v>-</v>
      </c>
      <c r="I527" s="804" t="str">
        <f t="shared" si="152"/>
        <v>-</v>
      </c>
      <c r="J527" s="804" t="str">
        <f t="shared" si="152"/>
        <v>-</v>
      </c>
      <c r="K527" s="804" t="str">
        <f t="shared" si="152"/>
        <v>-</v>
      </c>
      <c r="L527" s="805" t="str">
        <f t="shared" si="152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3">IF(F318=0,"-",F409/F318*365)</f>
        <v>-</v>
      </c>
      <c r="G528" s="808" t="str">
        <f t="shared" si="153"/>
        <v>-</v>
      </c>
      <c r="H528" s="809" t="str">
        <f t="shared" si="153"/>
        <v>-</v>
      </c>
      <c r="I528" s="810" t="str">
        <f t="shared" si="153"/>
        <v>-</v>
      </c>
      <c r="J528" s="810" t="str">
        <f t="shared" si="153"/>
        <v>-</v>
      </c>
      <c r="K528" s="810" t="str">
        <f t="shared" si="153"/>
        <v>-</v>
      </c>
      <c r="L528" s="811" t="str">
        <f t="shared" si="153"/>
        <v>-</v>
      </c>
    </row>
    <row r="529" spans="1:12" s="773" customFormat="1" ht="24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4">IF(F327=0,"-",F436/F327*365)</f>
        <v>-</v>
      </c>
      <c r="G529" s="802" t="str">
        <f t="shared" si="154"/>
        <v>-</v>
      </c>
      <c r="H529" s="803" t="str">
        <f t="shared" si="154"/>
        <v>-</v>
      </c>
      <c r="I529" s="804" t="str">
        <f t="shared" si="154"/>
        <v>-</v>
      </c>
      <c r="J529" s="804" t="str">
        <f t="shared" si="154"/>
        <v>-</v>
      </c>
      <c r="K529" s="804" t="str">
        <f t="shared" si="154"/>
        <v>-</v>
      </c>
      <c r="L529" s="805" t="str">
        <f t="shared" si="154"/>
        <v>-</v>
      </c>
    </row>
    <row r="530" spans="1:12" s="773" customFormat="1" ht="24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5">IF((F325-F326-F329-F330)=0,"-",F440/(F325-F326-F329-F330)*365)</f>
        <v>-</v>
      </c>
      <c r="G530" s="802" t="str">
        <f t="shared" si="155"/>
        <v>-</v>
      </c>
      <c r="H530" s="803" t="str">
        <f t="shared" si="155"/>
        <v>-</v>
      </c>
      <c r="I530" s="804" t="str">
        <f t="shared" si="155"/>
        <v>-</v>
      </c>
      <c r="J530" s="804" t="str">
        <f t="shared" si="155"/>
        <v>-</v>
      </c>
      <c r="K530" s="804" t="str">
        <f t="shared" si="155"/>
        <v>-</v>
      </c>
      <c r="L530" s="805" t="str">
        <f t="shared" si="155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6">IF(F330=0,"-",F442/(F330)*365)</f>
        <v>-</v>
      </c>
      <c r="G531" s="802" t="str">
        <f t="shared" si="156"/>
        <v>-</v>
      </c>
      <c r="H531" s="803" t="str">
        <f t="shared" si="156"/>
        <v>-</v>
      </c>
      <c r="I531" s="804" t="str">
        <f t="shared" si="156"/>
        <v>-</v>
      </c>
      <c r="J531" s="804" t="str">
        <f t="shared" si="156"/>
        <v>-</v>
      </c>
      <c r="K531" s="804" t="str">
        <f t="shared" si="156"/>
        <v>-</v>
      </c>
      <c r="L531" s="805" t="str">
        <f t="shared" si="156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7">IF(F320=0,"-",F441/F320*365)</f>
        <v>-</v>
      </c>
      <c r="G532" s="802" t="str">
        <f t="shared" si="157"/>
        <v>-</v>
      </c>
      <c r="H532" s="803" t="str">
        <f t="shared" si="157"/>
        <v>-</v>
      </c>
      <c r="I532" s="804" t="str">
        <f t="shared" si="157"/>
        <v>-</v>
      </c>
      <c r="J532" s="804" t="str">
        <f t="shared" si="157"/>
        <v>-</v>
      </c>
      <c r="K532" s="804" t="str">
        <f t="shared" si="157"/>
        <v>-</v>
      </c>
      <c r="L532" s="805" t="str">
        <f t="shared" si="157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8">IF(F154=0,"-",F443/F154*365)</f>
        <v>-</v>
      </c>
      <c r="G533" s="802" t="str">
        <f t="shared" si="158"/>
        <v>-</v>
      </c>
      <c r="H533" s="803" t="str">
        <f t="shared" si="158"/>
        <v>-</v>
      </c>
      <c r="I533" s="804" t="str">
        <f t="shared" si="158"/>
        <v>-</v>
      </c>
      <c r="J533" s="804" t="str">
        <f t="shared" si="158"/>
        <v>-</v>
      </c>
      <c r="K533" s="804" t="str">
        <f t="shared" si="158"/>
        <v>-</v>
      </c>
      <c r="L533" s="805" t="str">
        <f t="shared" si="158"/>
        <v>-</v>
      </c>
    </row>
    <row r="534" spans="1:12">
      <c r="B534" s="862"/>
      <c r="C534" s="915" t="s">
        <v>133</v>
      </c>
      <c r="E534" s="280">
        <f t="shared" ref="E534:L534" si="159">+E403-E424+E445</f>
        <v>0</v>
      </c>
      <c r="F534" s="281">
        <f t="shared" si="159"/>
        <v>0</v>
      </c>
      <c r="G534" s="812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60">IF(F415=0,"-",F424/F415)</f>
        <v>-</v>
      </c>
      <c r="G537" s="791" t="str">
        <f t="shared" si="160"/>
        <v>-</v>
      </c>
      <c r="H537" s="792" t="str">
        <f t="shared" si="160"/>
        <v>-</v>
      </c>
      <c r="I537" s="793" t="str">
        <f t="shared" si="160"/>
        <v>-</v>
      </c>
      <c r="J537" s="793" t="str">
        <f t="shared" si="160"/>
        <v>-</v>
      </c>
      <c r="K537" s="793" t="str">
        <f t="shared" si="160"/>
        <v>-</v>
      </c>
      <c r="L537" s="794" t="str">
        <f t="shared" si="160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1">IF(F417=0,"-",F424/F417)</f>
        <v>-</v>
      </c>
      <c r="G538" s="791" t="str">
        <f t="shared" si="161"/>
        <v>-</v>
      </c>
      <c r="H538" s="792" t="str">
        <f t="shared" si="161"/>
        <v>-</v>
      </c>
      <c r="I538" s="793" t="str">
        <f t="shared" si="161"/>
        <v>-</v>
      </c>
      <c r="J538" s="793" t="str">
        <f t="shared" si="161"/>
        <v>-</v>
      </c>
      <c r="K538" s="793" t="str">
        <f t="shared" si="161"/>
        <v>-</v>
      </c>
      <c r="L538" s="794" t="str">
        <f t="shared" si="161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2">IF(F417=0,"-",F429/F417)</f>
        <v>-</v>
      </c>
      <c r="G539" s="791" t="str">
        <f t="shared" si="162"/>
        <v>-</v>
      </c>
      <c r="H539" s="792" t="str">
        <f t="shared" si="162"/>
        <v>-</v>
      </c>
      <c r="I539" s="793" t="str">
        <f t="shared" si="162"/>
        <v>-</v>
      </c>
      <c r="J539" s="793" t="str">
        <f t="shared" si="162"/>
        <v>-</v>
      </c>
      <c r="K539" s="793" t="str">
        <f t="shared" si="162"/>
        <v>-</v>
      </c>
      <c r="L539" s="794" t="str">
        <f t="shared" si="162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3">IF(F415=0,"-",F386/F415)</f>
        <v>-</v>
      </c>
      <c r="G542" s="791" t="str">
        <f t="shared" si="163"/>
        <v>-</v>
      </c>
      <c r="H542" s="792" t="str">
        <f t="shared" si="163"/>
        <v>-</v>
      </c>
      <c r="I542" s="793" t="str">
        <f t="shared" si="163"/>
        <v>-</v>
      </c>
      <c r="J542" s="793" t="str">
        <f t="shared" si="163"/>
        <v>-</v>
      </c>
      <c r="K542" s="793" t="str">
        <f t="shared" si="163"/>
        <v>-</v>
      </c>
      <c r="L542" s="794" t="str">
        <f t="shared" si="163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4">IF(F415=0,"-",F388/F415)</f>
        <v>-</v>
      </c>
      <c r="G543" s="791" t="str">
        <f t="shared" si="164"/>
        <v>-</v>
      </c>
      <c r="H543" s="792" t="str">
        <f t="shared" si="164"/>
        <v>-</v>
      </c>
      <c r="I543" s="793" t="str">
        <f t="shared" si="164"/>
        <v>-</v>
      </c>
      <c r="J543" s="793" t="str">
        <f t="shared" si="164"/>
        <v>-</v>
      </c>
      <c r="K543" s="793" t="str">
        <f t="shared" si="164"/>
        <v>-</v>
      </c>
      <c r="L543" s="794" t="str">
        <f t="shared" si="164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5">IF(F415=0,"-",F403/F415)</f>
        <v>-</v>
      </c>
      <c r="G544" s="791" t="str">
        <f t="shared" si="165"/>
        <v>-</v>
      </c>
      <c r="H544" s="792" t="str">
        <f t="shared" si="165"/>
        <v>-</v>
      </c>
      <c r="I544" s="793" t="str">
        <f t="shared" si="165"/>
        <v>-</v>
      </c>
      <c r="J544" s="793" t="str">
        <f t="shared" si="165"/>
        <v>-</v>
      </c>
      <c r="K544" s="793" t="str">
        <f t="shared" si="165"/>
        <v>-</v>
      </c>
      <c r="L544" s="794" t="str">
        <f t="shared" si="165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6">IF((F417+F424)=0,"-",(F417/(F417+F424)))</f>
        <v>-</v>
      </c>
      <c r="G547" s="791" t="str">
        <f t="shared" si="166"/>
        <v>-</v>
      </c>
      <c r="H547" s="792" t="str">
        <f t="shared" si="166"/>
        <v>-</v>
      </c>
      <c r="I547" s="793" t="str">
        <f t="shared" si="166"/>
        <v>-</v>
      </c>
      <c r="J547" s="793" t="str">
        <f t="shared" si="166"/>
        <v>-</v>
      </c>
      <c r="K547" s="793" t="str">
        <f t="shared" si="166"/>
        <v>-</v>
      </c>
      <c r="L547" s="794" t="str">
        <f t="shared" si="166"/>
        <v>-</v>
      </c>
    </row>
    <row r="548" spans="2:12" ht="24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7">IF((F417+F424)=0,"-",(F417+F429)/(F417+F424))</f>
        <v>-</v>
      </c>
      <c r="G548" s="791" t="str">
        <f t="shared" si="167"/>
        <v>-</v>
      </c>
      <c r="H548" s="792" t="str">
        <f t="shared" si="167"/>
        <v>-</v>
      </c>
      <c r="I548" s="793" t="str">
        <f t="shared" si="167"/>
        <v>-</v>
      </c>
      <c r="J548" s="793" t="str">
        <f t="shared" si="167"/>
        <v>-</v>
      </c>
      <c r="K548" s="793" t="str">
        <f t="shared" si="167"/>
        <v>-</v>
      </c>
      <c r="L548" s="794" t="str">
        <f t="shared" si="167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8">IF(F386=0,"-",F417/F386)</f>
        <v>-</v>
      </c>
      <c r="G551" s="822" t="str">
        <f t="shared" si="168"/>
        <v>-</v>
      </c>
      <c r="H551" s="823" t="str">
        <f t="shared" si="168"/>
        <v>-</v>
      </c>
      <c r="I551" s="824" t="str">
        <f t="shared" si="168"/>
        <v>-</v>
      </c>
      <c r="J551" s="824" t="str">
        <f t="shared" si="168"/>
        <v>-</v>
      </c>
      <c r="K551" s="824" t="str">
        <f t="shared" si="168"/>
        <v>-</v>
      </c>
      <c r="L551" s="825" t="str">
        <f t="shared" si="168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9">IF(F386=0,"-",(F417+F429)/F386)</f>
        <v>-</v>
      </c>
      <c r="G552" s="822" t="str">
        <f t="shared" si="169"/>
        <v>-</v>
      </c>
      <c r="H552" s="823" t="str">
        <f t="shared" si="169"/>
        <v>-</v>
      </c>
      <c r="I552" s="824" t="str">
        <f t="shared" si="169"/>
        <v>-</v>
      </c>
      <c r="J552" s="824" t="str">
        <f t="shared" si="169"/>
        <v>-</v>
      </c>
      <c r="K552" s="824" t="str">
        <f t="shared" si="169"/>
        <v>-</v>
      </c>
      <c r="L552" s="825" t="str">
        <f t="shared" si="169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70">IF(F403=0,"-",F434/F403)</f>
        <v>-</v>
      </c>
      <c r="G553" s="822" t="str">
        <f t="shared" si="170"/>
        <v>-</v>
      </c>
      <c r="H553" s="823" t="str">
        <f t="shared" si="170"/>
        <v>-</v>
      </c>
      <c r="I553" s="824" t="str">
        <f t="shared" si="170"/>
        <v>-</v>
      </c>
      <c r="J553" s="824" t="str">
        <f t="shared" si="170"/>
        <v>-</v>
      </c>
      <c r="K553" s="824" t="str">
        <f t="shared" si="170"/>
        <v>-</v>
      </c>
      <c r="L553" s="825" t="str">
        <f t="shared" si="170"/>
        <v>-</v>
      </c>
    </row>
    <row r="554" spans="2:12" ht="12.75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1">IF(F417=0,"-",F388/F417)</f>
        <v>-</v>
      </c>
      <c r="G554" s="1070" t="str">
        <f t="shared" si="171"/>
        <v>-</v>
      </c>
      <c r="H554" s="1071" t="str">
        <f t="shared" si="171"/>
        <v>-</v>
      </c>
      <c r="I554" s="1072" t="str">
        <f t="shared" si="171"/>
        <v>-</v>
      </c>
      <c r="J554" s="1072" t="str">
        <f t="shared" si="171"/>
        <v>-</v>
      </c>
      <c r="K554" s="1072" t="str">
        <f t="shared" si="171"/>
        <v>-</v>
      </c>
      <c r="L554" s="1073" t="str">
        <f t="shared" si="171"/>
        <v>-</v>
      </c>
    </row>
    <row r="555" spans="2:12" ht="13.5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5" thickBot="1">
      <c r="C556" s="1076"/>
      <c r="D556" s="826"/>
      <c r="E556" s="827">
        <f>E512</f>
        <v>2020</v>
      </c>
      <c r="F556" s="827">
        <f t="shared" ref="F556:L556" si="172">F512</f>
        <v>2021</v>
      </c>
      <c r="G556" s="828">
        <f t="shared" si="172"/>
        <v>2022</v>
      </c>
      <c r="H556" s="829">
        <f t="shared" si="172"/>
        <v>2023</v>
      </c>
      <c r="I556" s="830">
        <f t="shared" si="172"/>
        <v>2024</v>
      </c>
      <c r="J556" s="830">
        <f t="shared" si="172"/>
        <v>2025</v>
      </c>
      <c r="K556" s="830">
        <f t="shared" si="172"/>
        <v>2026</v>
      </c>
      <c r="L556" s="831">
        <f t="shared" si="172"/>
        <v>2027</v>
      </c>
    </row>
    <row r="557" spans="2:12">
      <c r="C557" s="902" t="s">
        <v>134</v>
      </c>
      <c r="E557" s="832">
        <f>+E404</f>
        <v>0</v>
      </c>
      <c r="F557" s="833">
        <f t="shared" ref="F557:L557" si="173">+F404</f>
        <v>0</v>
      </c>
      <c r="G557" s="834">
        <f t="shared" si="173"/>
        <v>0</v>
      </c>
      <c r="H557" s="835">
        <f t="shared" si="173"/>
        <v>0</v>
      </c>
      <c r="I557" s="836">
        <f t="shared" si="173"/>
        <v>0</v>
      </c>
      <c r="J557" s="836">
        <f t="shared" si="173"/>
        <v>0</v>
      </c>
      <c r="K557" s="836">
        <f t="shared" si="173"/>
        <v>0</v>
      </c>
      <c r="L557" s="837">
        <f t="shared" si="173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4">+F405</f>
        <v>0</v>
      </c>
      <c r="G558" s="834">
        <f t="shared" si="174"/>
        <v>0</v>
      </c>
      <c r="H558" s="835">
        <f t="shared" si="174"/>
        <v>0</v>
      </c>
      <c r="I558" s="836">
        <f t="shared" si="174"/>
        <v>0</v>
      </c>
      <c r="J558" s="836">
        <f t="shared" si="174"/>
        <v>0</v>
      </c>
      <c r="K558" s="836">
        <f t="shared" si="174"/>
        <v>0</v>
      </c>
      <c r="L558" s="837">
        <f t="shared" si="174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5">-F434</f>
        <v>0</v>
      </c>
      <c r="G559" s="834">
        <f t="shared" si="175"/>
        <v>0</v>
      </c>
      <c r="H559" s="835">
        <f t="shared" si="175"/>
        <v>0</v>
      </c>
      <c r="I559" s="836">
        <f t="shared" si="175"/>
        <v>0</v>
      </c>
      <c r="J559" s="836">
        <f t="shared" si="175"/>
        <v>0</v>
      </c>
      <c r="K559" s="836">
        <f t="shared" si="175"/>
        <v>0</v>
      </c>
      <c r="L559" s="837">
        <f t="shared" si="175"/>
        <v>0</v>
      </c>
    </row>
    <row r="560" spans="2:12" ht="12.75" thickBot="1">
      <c r="C560" s="1001" t="s">
        <v>136</v>
      </c>
      <c r="D560" s="1004"/>
      <c r="E560" s="1077">
        <f t="shared" ref="E560:L560" si="176">SUM(E557:E559)</f>
        <v>0</v>
      </c>
      <c r="F560" s="1078">
        <f t="shared" si="176"/>
        <v>0</v>
      </c>
      <c r="G560" s="1079">
        <f t="shared" si="176"/>
        <v>0</v>
      </c>
      <c r="H560" s="961">
        <f t="shared" si="176"/>
        <v>0</v>
      </c>
      <c r="I560" s="1080">
        <f t="shared" si="176"/>
        <v>0</v>
      </c>
      <c r="J560" s="1080">
        <f t="shared" si="176"/>
        <v>0</v>
      </c>
      <c r="K560" s="1080">
        <f t="shared" si="176"/>
        <v>0</v>
      </c>
      <c r="L560" s="1081">
        <f t="shared" si="176"/>
        <v>0</v>
      </c>
    </row>
    <row r="561" spans="3:12" ht="13.5" thickTop="1" thickBot="1"/>
    <row r="562" spans="3:12" ht="17.25" thickTop="1" thickBot="1">
      <c r="C562" s="1082" t="s">
        <v>325</v>
      </c>
      <c r="D562" s="1083"/>
      <c r="E562" s="1150" t="s">
        <v>250</v>
      </c>
      <c r="F562" s="1151"/>
      <c r="G562" s="1152"/>
      <c r="H562" s="1153" t="s">
        <v>251</v>
      </c>
      <c r="I562" s="1154"/>
      <c r="J562" s="1154"/>
      <c r="K562" s="1154"/>
      <c r="L562" s="1155"/>
    </row>
    <row r="563" spans="3:12" ht="33" thickTop="1" thickBot="1">
      <c r="C563" s="22" t="s">
        <v>326</v>
      </c>
      <c r="D563" s="1084"/>
      <c r="E563" s="24">
        <f>E$7</f>
        <v>2020</v>
      </c>
      <c r="F563" s="25">
        <f t="shared" ref="F563:L563" si="177">F$7</f>
        <v>2021</v>
      </c>
      <c r="G563" s="177">
        <f t="shared" si="177"/>
        <v>2022</v>
      </c>
      <c r="H563" s="73">
        <f t="shared" si="177"/>
        <v>2023</v>
      </c>
      <c r="I563" s="29">
        <f t="shared" si="177"/>
        <v>2024</v>
      </c>
      <c r="J563" s="29">
        <f t="shared" si="177"/>
        <v>2025</v>
      </c>
      <c r="K563" s="29">
        <f t="shared" si="177"/>
        <v>2026</v>
      </c>
      <c r="L563" s="30">
        <f t="shared" si="177"/>
        <v>2027</v>
      </c>
    </row>
    <row r="564" spans="3:12" ht="13.5" thickTop="1">
      <c r="C564" s="958" t="s">
        <v>327</v>
      </c>
      <c r="D564" s="838"/>
      <c r="E564" s="839">
        <f>E126</f>
        <v>0</v>
      </c>
      <c r="F564" s="840">
        <f t="shared" ref="F564:L564" si="178">F126</f>
        <v>0</v>
      </c>
      <c r="G564" s="841">
        <f t="shared" si="178"/>
        <v>0</v>
      </c>
      <c r="H564" s="842">
        <f t="shared" si="178"/>
        <v>0</v>
      </c>
      <c r="I564" s="843">
        <f t="shared" si="178"/>
        <v>0</v>
      </c>
      <c r="J564" s="843">
        <f t="shared" si="178"/>
        <v>0</v>
      </c>
      <c r="K564" s="843">
        <f t="shared" si="178"/>
        <v>0</v>
      </c>
      <c r="L564" s="1085">
        <f t="shared" si="178"/>
        <v>0</v>
      </c>
    </row>
    <row r="565" spans="3:12">
      <c r="C565" s="959" t="s">
        <v>328</v>
      </c>
      <c r="D565" s="844"/>
      <c r="E565" s="470" t="str">
        <f>IF(SUM(E566:E567,E571:E576)&gt;=E564,"OK","BŁĄD")</f>
        <v>OK</v>
      </c>
      <c r="F565" s="470" t="str">
        <f t="shared" ref="F565:L565" si="179">IF(SUM(F566:F567,F571:F576)&gt;=F564,"OK","BŁĄD")</f>
        <v>OK</v>
      </c>
      <c r="G565" s="470" t="str">
        <f t="shared" si="179"/>
        <v>OK</v>
      </c>
      <c r="H565" s="470" t="str">
        <f t="shared" si="179"/>
        <v>OK</v>
      </c>
      <c r="I565" s="470" t="str">
        <f t="shared" si="179"/>
        <v>OK</v>
      </c>
      <c r="J565" s="470" t="str">
        <f t="shared" si="179"/>
        <v>OK</v>
      </c>
      <c r="K565" s="470" t="str">
        <f t="shared" si="179"/>
        <v>OK</v>
      </c>
      <c r="L565" s="470" t="str">
        <f t="shared" si="179"/>
        <v>OK</v>
      </c>
    </row>
    <row r="566" spans="3:12">
      <c r="C566" s="902" t="s">
        <v>329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330</v>
      </c>
      <c r="D567" s="845"/>
      <c r="E567" s="849">
        <f t="shared" ref="E567:L567" si="180">SUM(E568:E570)</f>
        <v>0</v>
      </c>
      <c r="F567" s="850">
        <f t="shared" si="180"/>
        <v>0</v>
      </c>
      <c r="G567" s="851">
        <f t="shared" si="180"/>
        <v>0</v>
      </c>
      <c r="H567" s="849">
        <f t="shared" si="180"/>
        <v>0</v>
      </c>
      <c r="I567" s="850">
        <f t="shared" si="180"/>
        <v>0</v>
      </c>
      <c r="J567" s="850">
        <f t="shared" si="180"/>
        <v>0</v>
      </c>
      <c r="K567" s="850">
        <f t="shared" si="180"/>
        <v>0</v>
      </c>
      <c r="L567" s="851">
        <f t="shared" si="180"/>
        <v>0</v>
      </c>
    </row>
    <row r="568" spans="3:12">
      <c r="C568" s="960" t="s">
        <v>331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332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333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334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335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336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337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338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.75" thickBot="1">
      <c r="C576" s="961" t="s">
        <v>339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.75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315:G315"/>
    <mergeCell ref="E100:G100"/>
    <mergeCell ref="E101:G101"/>
    <mergeCell ref="E94:G94"/>
    <mergeCell ref="E96:G96"/>
    <mergeCell ref="E511:G511"/>
    <mergeCell ref="H511:L511"/>
    <mergeCell ref="E383:G383"/>
    <mergeCell ref="H383:L383"/>
    <mergeCell ref="E454:G454"/>
    <mergeCell ref="H454:L454"/>
    <mergeCell ref="A56:A73"/>
    <mergeCell ref="E85:G86"/>
    <mergeCell ref="E88:G88"/>
    <mergeCell ref="E93:G93"/>
    <mergeCell ref="E89:G89"/>
    <mergeCell ref="E91:G91"/>
    <mergeCell ref="E92:G92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dc:creator>ure@ure.gov.pl</dc:creator>
  <cp:lastModifiedBy>URE</cp:lastModifiedBy>
  <cp:lastPrinted>2015-02-18T12:17:01Z</cp:lastPrinted>
  <dcterms:created xsi:type="dcterms:W3CDTF">2007-11-26T09:39:59Z</dcterms:created>
  <dcterms:modified xsi:type="dcterms:W3CDTF">2022-03-24T10:23:21Z</dcterms:modified>
</cp:coreProperties>
</file>