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600" windowHeight="9240" tabRatio="851" activeTab="4"/>
  </bookViews>
  <sheets>
    <sheet name="Dane" sheetId="9" r:id="rId1"/>
    <sheet name="Nakłady inwestycyjne" sheetId="10" r:id="rId2"/>
    <sheet name="Kalkulacja" sheetId="1" r:id="rId3"/>
    <sheet name="Dane referencyjne" sheetId="5" r:id="rId4"/>
    <sheet name="WACC" sheetId="4" r:id="rId5"/>
  </sheets>
  <calcPr calcId="145621"/>
  <customWorkbookViews>
    <customWorkbookView name="2" guid="{C75A5F74-EB46-4EC1-8574-01D849F3C8D4}" includePrintSettings="0" includeHiddenRowCol="0" maximized="1" windowWidth="1596" windowHeight="667" tabRatio="851" activeSheetId="9" showFormulaBar="0"/>
    <customWorkbookView name="1" guid="{60DF9BBC-D692-423C-89AD-8A976478AE41}" maximized="1" windowWidth="1596" windowHeight="667" tabRatio="851" activeSheetId="9" showFormulaBar="0"/>
  </customWorkbookViews>
</workbook>
</file>

<file path=xl/calcChain.xml><?xml version="1.0" encoding="utf-8"?>
<calcChain xmlns="http://schemas.openxmlformats.org/spreadsheetml/2006/main">
  <c r="G30" i="1" l="1"/>
  <c r="B5" i="10" l="1"/>
  <c r="B3" i="10"/>
  <c r="H124" i="1" l="1"/>
  <c r="H125" i="1"/>
  <c r="H126" i="1"/>
  <c r="H127" i="1"/>
  <c r="G125" i="1"/>
  <c r="I125" i="1"/>
  <c r="G126" i="1"/>
  <c r="I126" i="1"/>
  <c r="G127" i="1"/>
  <c r="I127" i="1"/>
  <c r="G124" i="1"/>
  <c r="I124" i="1"/>
  <c r="G23" i="1" l="1"/>
  <c r="G35" i="1" l="1"/>
  <c r="G33" i="1"/>
  <c r="G28" i="1"/>
  <c r="E91" i="1"/>
  <c r="F68" i="9" l="1"/>
  <c r="D8" i="10" s="1"/>
  <c r="I15" i="10" l="1"/>
  <c r="J15" i="10" s="1"/>
  <c r="I16" i="10"/>
  <c r="J16" i="10" s="1"/>
  <c r="I14" i="10"/>
  <c r="J14" i="10" s="1"/>
  <c r="I13" i="10"/>
  <c r="J13" i="10" s="1"/>
  <c r="I12" i="10"/>
  <c r="J12" i="10" s="1"/>
  <c r="I129" i="1"/>
  <c r="I130" i="1"/>
  <c r="I131" i="1"/>
  <c r="I128" i="1"/>
  <c r="H128" i="1"/>
  <c r="H129" i="1"/>
  <c r="H130" i="1"/>
  <c r="H131" i="1"/>
  <c r="G129" i="1"/>
  <c r="G130" i="1"/>
  <c r="G131" i="1"/>
  <c r="G128" i="1"/>
  <c r="G27" i="1"/>
  <c r="J18" i="10" l="1"/>
  <c r="F37" i="9" s="1"/>
  <c r="G11" i="1"/>
  <c r="G34" i="1" l="1"/>
  <c r="C5" i="1"/>
  <c r="C3" i="1"/>
  <c r="G18" i="1" l="1"/>
  <c r="G17" i="1"/>
  <c r="G24" i="1" l="1"/>
  <c r="F10" i="1"/>
  <c r="G29" i="1" s="1"/>
  <c r="F9" i="1"/>
  <c r="G21" i="1"/>
  <c r="G16" i="1"/>
  <c r="G12" i="1"/>
  <c r="E104" i="1" s="1"/>
  <c r="M124" i="1" l="1"/>
  <c r="G71" i="1"/>
  <c r="G73" i="1" s="1"/>
  <c r="I96" i="1"/>
  <c r="I98" i="1" s="1"/>
  <c r="M96" i="1"/>
  <c r="M98" i="1" s="1"/>
  <c r="Q96" i="1"/>
  <c r="Q98" i="1" s="1"/>
  <c r="U96" i="1"/>
  <c r="U98" i="1" s="1"/>
  <c r="Y96" i="1"/>
  <c r="Y98" i="1" s="1"/>
  <c r="AC96" i="1"/>
  <c r="AC98" i="1" s="1"/>
  <c r="O95" i="1"/>
  <c r="S95" i="1"/>
  <c r="W95" i="1"/>
  <c r="AA95" i="1"/>
  <c r="G95" i="1"/>
  <c r="K95" i="1"/>
  <c r="F96" i="1"/>
  <c r="F98" i="1" s="1"/>
  <c r="J96" i="1"/>
  <c r="J98" i="1" s="1"/>
  <c r="N96" i="1"/>
  <c r="N98" i="1" s="1"/>
  <c r="R96" i="1"/>
  <c r="R98" i="1" s="1"/>
  <c r="V96" i="1"/>
  <c r="V98" i="1" s="1"/>
  <c r="Z96" i="1"/>
  <c r="Z98" i="1" s="1"/>
  <c r="E96" i="1"/>
  <c r="E98" i="1" s="1"/>
  <c r="P95" i="1"/>
  <c r="L96" i="1"/>
  <c r="L98" i="1" s="1"/>
  <c r="AB96" i="1"/>
  <c r="AB98" i="1" s="1"/>
  <c r="AC95" i="1"/>
  <c r="G96" i="1"/>
  <c r="G98" i="1" s="1"/>
  <c r="O96" i="1"/>
  <c r="O98" i="1" s="1"/>
  <c r="W96" i="1"/>
  <c r="W98" i="1" s="1"/>
  <c r="M95" i="1"/>
  <c r="T95" i="1"/>
  <c r="Y95" i="1"/>
  <c r="F95" i="1"/>
  <c r="L95" i="1"/>
  <c r="H96" i="1"/>
  <c r="H98" i="1" s="1"/>
  <c r="P96" i="1"/>
  <c r="P98" i="1" s="1"/>
  <c r="X96" i="1"/>
  <c r="X98" i="1" s="1"/>
  <c r="N95" i="1"/>
  <c r="U95" i="1"/>
  <c r="Z95" i="1"/>
  <c r="H95" i="1"/>
  <c r="E95" i="1"/>
  <c r="E101" i="1" s="1"/>
  <c r="G70" i="1"/>
  <c r="K96" i="1"/>
  <c r="K98" i="1" s="1"/>
  <c r="S96" i="1"/>
  <c r="S98" i="1" s="1"/>
  <c r="AA96" i="1"/>
  <c r="AA98" i="1" s="1"/>
  <c r="Q95" i="1"/>
  <c r="V95" i="1"/>
  <c r="AB95" i="1"/>
  <c r="AB101" i="1" s="1"/>
  <c r="I95" i="1"/>
  <c r="T96" i="1"/>
  <c r="T98" i="1" s="1"/>
  <c r="R95" i="1"/>
  <c r="X95" i="1"/>
  <c r="X101" i="1" s="1"/>
  <c r="J95" i="1"/>
  <c r="E110" i="1"/>
  <c r="N104" i="1"/>
  <c r="G104" i="1"/>
  <c r="K104" i="1"/>
  <c r="O104" i="1"/>
  <c r="S104" i="1"/>
  <c r="W104" i="1"/>
  <c r="AA104" i="1"/>
  <c r="H104" i="1"/>
  <c r="L104" i="1"/>
  <c r="P104" i="1"/>
  <c r="T104" i="1"/>
  <c r="X104" i="1"/>
  <c r="AB104" i="1"/>
  <c r="I104" i="1"/>
  <c r="M104" i="1"/>
  <c r="Q104" i="1"/>
  <c r="U104" i="1"/>
  <c r="Y104" i="1"/>
  <c r="AC104" i="1"/>
  <c r="F104" i="1"/>
  <c r="J104" i="1"/>
  <c r="R104" i="1"/>
  <c r="V104" i="1"/>
  <c r="Z104" i="1"/>
  <c r="J12" i="1"/>
  <c r="M16" i="1"/>
  <c r="M71" i="1" s="1"/>
  <c r="O71" i="1" s="1"/>
  <c r="G36" i="1"/>
  <c r="G37" i="1"/>
  <c r="J16" i="1"/>
  <c r="J73" i="1" s="1"/>
  <c r="O73" i="1" s="1"/>
  <c r="I9" i="1"/>
  <c r="L9" i="1"/>
  <c r="M12" i="1"/>
  <c r="E103" i="1" l="1"/>
  <c r="V101" i="1"/>
  <c r="J101" i="1"/>
  <c r="AC101" i="1"/>
  <c r="H101" i="1"/>
  <c r="Q101" i="1"/>
  <c r="P101" i="1"/>
  <c r="M103" i="1"/>
  <c r="M101" i="1"/>
  <c r="K103" i="1"/>
  <c r="K101" i="1"/>
  <c r="S103" i="1"/>
  <c r="S101" i="1"/>
  <c r="R103" i="1"/>
  <c r="R101" i="1"/>
  <c r="Z103" i="1"/>
  <c r="Z101" i="1"/>
  <c r="Y103" i="1"/>
  <c r="Y101" i="1"/>
  <c r="AA103" i="1"/>
  <c r="AA101" i="1"/>
  <c r="I103" i="1"/>
  <c r="I101" i="1"/>
  <c r="N103" i="1"/>
  <c r="N101" i="1"/>
  <c r="U101" i="1"/>
  <c r="T101" i="1"/>
  <c r="W101" i="1"/>
  <c r="L103" i="1"/>
  <c r="L101" i="1"/>
  <c r="F103" i="1"/>
  <c r="F101" i="1"/>
  <c r="G103" i="1"/>
  <c r="G101" i="1"/>
  <c r="O101" i="1"/>
  <c r="Q97" i="1"/>
  <c r="Q99" i="1" s="1"/>
  <c r="G72" i="1"/>
  <c r="G74" i="1" s="1"/>
  <c r="G78" i="1" s="1"/>
  <c r="G83" i="1" s="1"/>
  <c r="U97" i="1"/>
  <c r="U99" i="1" s="1"/>
  <c r="T97" i="1"/>
  <c r="T99" i="1" s="1"/>
  <c r="W97" i="1"/>
  <c r="W99" i="1" s="1"/>
  <c r="T103" i="1"/>
  <c r="J97" i="1"/>
  <c r="J99" i="1" s="1"/>
  <c r="I97" i="1"/>
  <c r="I99" i="1" s="1"/>
  <c r="E97" i="1"/>
  <c r="E99" i="1" s="1"/>
  <c r="N97" i="1"/>
  <c r="N99" i="1" s="1"/>
  <c r="L97" i="1"/>
  <c r="L99" i="1" s="1"/>
  <c r="M97" i="1"/>
  <c r="M99" i="1" s="1"/>
  <c r="AC97" i="1"/>
  <c r="AC99" i="1" s="1"/>
  <c r="P97" i="1"/>
  <c r="P99" i="1" s="1"/>
  <c r="K97" i="1"/>
  <c r="K99" i="1" s="1"/>
  <c r="S97" i="1"/>
  <c r="S99" i="1" s="1"/>
  <c r="AC103" i="1"/>
  <c r="Q103" i="1"/>
  <c r="P103" i="1"/>
  <c r="W103" i="1"/>
  <c r="X97" i="1"/>
  <c r="X99" i="1" s="1"/>
  <c r="AB97" i="1"/>
  <c r="AB99" i="1" s="1"/>
  <c r="H97" i="1"/>
  <c r="H99" i="1" s="1"/>
  <c r="F97" i="1"/>
  <c r="F99" i="1" s="1"/>
  <c r="G97" i="1"/>
  <c r="G99" i="1" s="1"/>
  <c r="O97" i="1"/>
  <c r="O99" i="1" s="1"/>
  <c r="U103" i="1"/>
  <c r="AB103" i="1"/>
  <c r="R97" i="1"/>
  <c r="R99" i="1" s="1"/>
  <c r="V97" i="1"/>
  <c r="V99" i="1" s="1"/>
  <c r="Z97" i="1"/>
  <c r="Z99" i="1" s="1"/>
  <c r="Y97" i="1"/>
  <c r="Y99" i="1" s="1"/>
  <c r="AA97" i="1"/>
  <c r="AA99" i="1" s="1"/>
  <c r="J103" i="1"/>
  <c r="V103" i="1"/>
  <c r="X103" i="1"/>
  <c r="H103" i="1"/>
  <c r="O103" i="1"/>
  <c r="D26" i="4"/>
  <c r="D28" i="4" s="1"/>
  <c r="D29" i="4" s="1"/>
  <c r="D6" i="4"/>
  <c r="D11" i="4" s="1"/>
  <c r="D16" i="4" s="1"/>
  <c r="D20" i="4" s="1"/>
  <c r="L102" i="1" l="1"/>
  <c r="L105" i="1" s="1"/>
  <c r="G102" i="1"/>
  <c r="G105" i="1" s="1"/>
  <c r="K102" i="1"/>
  <c r="K105" i="1" s="1"/>
  <c r="O102" i="1"/>
  <c r="O105" i="1" s="1"/>
  <c r="S102" i="1"/>
  <c r="S105" i="1" s="1"/>
  <c r="W102" i="1"/>
  <c r="W105" i="1" s="1"/>
  <c r="AA102" i="1"/>
  <c r="AA105" i="1" s="1"/>
  <c r="H102" i="1"/>
  <c r="H105" i="1" s="1"/>
  <c r="P102" i="1"/>
  <c r="P105" i="1" s="1"/>
  <c r="T102" i="1"/>
  <c r="T105" i="1" s="1"/>
  <c r="X102" i="1"/>
  <c r="X105" i="1" s="1"/>
  <c r="AB102" i="1"/>
  <c r="AB105" i="1" s="1"/>
  <c r="E102" i="1"/>
  <c r="E105" i="1" s="1"/>
  <c r="E107" i="1" s="1"/>
  <c r="I102" i="1"/>
  <c r="I105" i="1" s="1"/>
  <c r="M102" i="1"/>
  <c r="M105" i="1" s="1"/>
  <c r="Q102" i="1"/>
  <c r="Q105" i="1" s="1"/>
  <c r="U102" i="1"/>
  <c r="Y102" i="1"/>
  <c r="Y105" i="1" s="1"/>
  <c r="AC102" i="1"/>
  <c r="AC105" i="1" s="1"/>
  <c r="F102" i="1"/>
  <c r="F105" i="1" s="1"/>
  <c r="J102" i="1"/>
  <c r="J105" i="1" s="1"/>
  <c r="N102" i="1"/>
  <c r="N105" i="1" s="1"/>
  <c r="R102" i="1"/>
  <c r="R105" i="1" s="1"/>
  <c r="V102" i="1"/>
  <c r="V105" i="1" s="1"/>
  <c r="Z102" i="1"/>
  <c r="Z105" i="1" s="1"/>
  <c r="U105" i="1"/>
  <c r="G79" i="1"/>
  <c r="G81" i="1"/>
  <c r="G80" i="1"/>
  <c r="G13" i="1"/>
  <c r="M125" i="1" s="1"/>
  <c r="D32" i="4"/>
  <c r="G22" i="1" s="1"/>
  <c r="D21" i="4"/>
  <c r="D34" i="4"/>
  <c r="D39" i="4" s="1"/>
  <c r="E92" i="1" l="1"/>
  <c r="E111" i="1" s="1"/>
  <c r="F107" i="1"/>
  <c r="L107" i="1"/>
  <c r="J107" i="1"/>
  <c r="Q107" i="1"/>
  <c r="V107" i="1"/>
  <c r="U107" i="1"/>
  <c r="H107" i="1"/>
  <c r="X107" i="1"/>
  <c r="P107" i="1"/>
  <c r="S107" i="1"/>
  <c r="AB107" i="1"/>
  <c r="I107" i="1"/>
  <c r="K107" i="1"/>
  <c r="AC107" i="1"/>
  <c r="Y107" i="1"/>
  <c r="Z107" i="1"/>
  <c r="R107" i="1"/>
  <c r="N107" i="1"/>
  <c r="T107" i="1"/>
  <c r="M107" i="1"/>
  <c r="AA107" i="1"/>
  <c r="G107" i="1"/>
  <c r="O107" i="1"/>
  <c r="W107" i="1"/>
  <c r="M126" i="1"/>
  <c r="E112" i="1" l="1"/>
  <c r="E113" i="1" s="1"/>
  <c r="J35" i="1"/>
  <c r="M34" i="1"/>
  <c r="J33" i="1"/>
  <c r="J34" i="1"/>
  <c r="M35" i="1"/>
  <c r="M33" i="1"/>
  <c r="M37" i="1" l="1"/>
  <c r="J37" i="1"/>
  <c r="M36" i="1"/>
  <c r="J36" i="1" l="1"/>
  <c r="F88" i="1" l="1"/>
  <c r="F91" i="1" s="1"/>
  <c r="F92" i="1" s="1"/>
  <c r="F111" i="1" s="1"/>
  <c r="F112" i="1" l="1"/>
  <c r="G88" i="1"/>
  <c r="G91" i="1" s="1"/>
  <c r="G92" i="1" s="1"/>
  <c r="M70" i="1"/>
  <c r="M75" i="1" s="1"/>
  <c r="M80" i="1" l="1"/>
  <c r="M78" i="1"/>
  <c r="M81" i="1"/>
  <c r="M79" i="1"/>
  <c r="G111" i="1"/>
  <c r="G112" i="1"/>
  <c r="F113" i="1"/>
  <c r="H88" i="1"/>
  <c r="H91" i="1" s="1"/>
  <c r="H92" i="1" s="1"/>
  <c r="O70" i="1"/>
  <c r="J72" i="1"/>
  <c r="J76" i="1" s="1"/>
  <c r="O74" i="1" s="1"/>
  <c r="J79" i="1" l="1"/>
  <c r="O79" i="1" s="1"/>
  <c r="G57" i="1" s="1"/>
  <c r="G63" i="1" s="1"/>
  <c r="J78" i="1"/>
  <c r="O78" i="1" s="1"/>
  <c r="G56" i="1" s="1"/>
  <c r="G62" i="1" s="1"/>
  <c r="J81" i="1"/>
  <c r="O81" i="1" s="1"/>
  <c r="G59" i="1" s="1"/>
  <c r="G65" i="1" s="1"/>
  <c r="J80" i="1"/>
  <c r="O80" i="1" s="1"/>
  <c r="G58" i="1" s="1"/>
  <c r="G64" i="1" s="1"/>
  <c r="G113" i="1"/>
  <c r="H111" i="1"/>
  <c r="H112" i="1"/>
  <c r="I88" i="1"/>
  <c r="I91" i="1" s="1"/>
  <c r="I92" i="1" s="1"/>
  <c r="O72" i="1"/>
  <c r="G49" i="1"/>
  <c r="H113" i="1" l="1"/>
  <c r="I111" i="1"/>
  <c r="I112" i="1"/>
  <c r="J88" i="1"/>
  <c r="J91" i="1" s="1"/>
  <c r="J92" i="1" s="1"/>
  <c r="J111" i="1" l="1"/>
  <c r="J112" i="1"/>
  <c r="I113" i="1"/>
  <c r="K88" i="1"/>
  <c r="K91" i="1" s="1"/>
  <c r="K92" i="1" s="1"/>
  <c r="G50" i="1"/>
  <c r="K111" i="1" l="1"/>
  <c r="K112" i="1"/>
  <c r="J113" i="1"/>
  <c r="L88" i="1"/>
  <c r="L91" i="1" s="1"/>
  <c r="L92" i="1" s="1"/>
  <c r="G51" i="1"/>
  <c r="G52" i="1" s="1"/>
  <c r="K113" i="1" l="1"/>
  <c r="L111" i="1"/>
  <c r="L112" i="1"/>
  <c r="M88" i="1"/>
  <c r="M91" i="1" s="1"/>
  <c r="M92" i="1" s="1"/>
  <c r="L113" i="1" l="1"/>
  <c r="M111" i="1"/>
  <c r="M112" i="1"/>
  <c r="N88" i="1"/>
  <c r="N91" i="1" s="1"/>
  <c r="N92" i="1" s="1"/>
  <c r="M113" i="1" l="1"/>
  <c r="N111" i="1"/>
  <c r="N112" i="1"/>
  <c r="O88" i="1"/>
  <c r="O91" i="1" s="1"/>
  <c r="O92" i="1" s="1"/>
  <c r="N113" i="1" l="1"/>
  <c r="O111" i="1"/>
  <c r="O112" i="1"/>
  <c r="P88" i="1"/>
  <c r="P91" i="1" s="1"/>
  <c r="P92" i="1" s="1"/>
  <c r="O113" i="1" l="1"/>
  <c r="P111" i="1"/>
  <c r="P112" i="1"/>
  <c r="Q88" i="1"/>
  <c r="Q91" i="1" s="1"/>
  <c r="Q92" i="1" s="1"/>
  <c r="P113" i="1" l="1"/>
  <c r="Q111" i="1"/>
  <c r="Q112" i="1"/>
  <c r="R88" i="1"/>
  <c r="R91" i="1" s="1"/>
  <c r="R92" i="1" s="1"/>
  <c r="Q113" i="1" l="1"/>
  <c r="R111" i="1"/>
  <c r="R112" i="1"/>
  <c r="S88" i="1"/>
  <c r="S91" i="1" s="1"/>
  <c r="S92" i="1" s="1"/>
  <c r="R113" i="1" l="1"/>
  <c r="S111" i="1"/>
  <c r="S112" i="1"/>
  <c r="T88" i="1"/>
  <c r="T91" i="1" s="1"/>
  <c r="T92" i="1" s="1"/>
  <c r="S113" i="1" l="1"/>
  <c r="T111" i="1"/>
  <c r="T112" i="1"/>
  <c r="U88" i="1"/>
  <c r="U91" i="1" s="1"/>
  <c r="U92" i="1" s="1"/>
  <c r="T113" i="1" l="1"/>
  <c r="U111" i="1"/>
  <c r="U112" i="1"/>
  <c r="V88" i="1"/>
  <c r="V91" i="1" s="1"/>
  <c r="V92" i="1" s="1"/>
  <c r="U113" i="1" l="1"/>
  <c r="V111" i="1"/>
  <c r="V112" i="1"/>
  <c r="W88" i="1"/>
  <c r="W91" i="1" s="1"/>
  <c r="W92" i="1" s="1"/>
  <c r="V113" i="1" l="1"/>
  <c r="W111" i="1"/>
  <c r="W112" i="1"/>
  <c r="X88" i="1"/>
  <c r="X91" i="1" s="1"/>
  <c r="X92" i="1" s="1"/>
  <c r="W113" i="1" l="1"/>
  <c r="X111" i="1"/>
  <c r="X112" i="1"/>
  <c r="Y88" i="1"/>
  <c r="Y91" i="1" s="1"/>
  <c r="Y92" i="1" s="1"/>
  <c r="X113" i="1" l="1"/>
  <c r="Y111" i="1"/>
  <c r="Y112" i="1"/>
  <c r="Z88" i="1"/>
  <c r="Z91" i="1" s="1"/>
  <c r="Z92" i="1" s="1"/>
  <c r="Y113" i="1" l="1"/>
  <c r="Z111" i="1"/>
  <c r="Z112" i="1"/>
  <c r="AA88" i="1"/>
  <c r="AA91" i="1" s="1"/>
  <c r="AA92" i="1" s="1"/>
  <c r="AA111" i="1" l="1"/>
  <c r="AA112" i="1"/>
  <c r="Z113" i="1"/>
  <c r="AB88" i="1"/>
  <c r="AB91" i="1" s="1"/>
  <c r="AB92" i="1" s="1"/>
  <c r="AB111" i="1" l="1"/>
  <c r="AB112" i="1"/>
  <c r="AA113" i="1"/>
  <c r="AC88" i="1"/>
  <c r="AB113" i="1" l="1"/>
  <c r="AC91" i="1"/>
  <c r="AC92" i="1" s="1"/>
  <c r="AC111" i="1" l="1"/>
  <c r="G43" i="1" s="1"/>
  <c r="AC112" i="1"/>
  <c r="G44" i="1" s="1"/>
  <c r="AC113" i="1" l="1"/>
  <c r="E114" i="1" l="1"/>
  <c r="G41" i="1" s="1"/>
  <c r="G46" i="1" s="1"/>
  <c r="G45" i="1" l="1"/>
</calcChain>
</file>

<file path=xl/comments1.xml><?xml version="1.0" encoding="utf-8"?>
<comments xmlns="http://schemas.openxmlformats.org/spreadsheetml/2006/main">
  <authors>
    <author>Krzysztof Falkowski</author>
  </authors>
  <commentList>
    <comment ref="N24" authorId="0">
      <text>
        <r>
          <rPr>
            <b/>
            <sz val="9"/>
            <color indexed="81"/>
            <rFont val="Tahoma"/>
            <family val="2"/>
            <charset val="238"/>
          </rPr>
          <t>Krzysztof Falkowski:</t>
        </r>
        <r>
          <rPr>
            <sz val="9"/>
            <color indexed="81"/>
            <rFont val="Tahoma"/>
            <family val="2"/>
            <charset val="238"/>
          </rPr>
          <t xml:space="preserve">
przy 15% zawartości tlenu
</t>
        </r>
      </text>
    </comment>
  </commentList>
</comments>
</file>

<file path=xl/sharedStrings.xml><?xml version="1.0" encoding="utf-8"?>
<sst xmlns="http://schemas.openxmlformats.org/spreadsheetml/2006/main" count="566" uniqueCount="365">
  <si>
    <t>CAPEX</t>
  </si>
  <si>
    <t>[mPLN/MW]</t>
  </si>
  <si>
    <t>[%]</t>
  </si>
  <si>
    <t>Współczynnik skojarzenia</t>
  </si>
  <si>
    <t>[x]</t>
  </si>
  <si>
    <t>Sprawność produkcji ee</t>
  </si>
  <si>
    <t>[h/a]</t>
  </si>
  <si>
    <t>Produkcja energii elektrycznej</t>
  </si>
  <si>
    <t>[MWh]</t>
  </si>
  <si>
    <t>WACC</t>
  </si>
  <si>
    <t>Cena paliwa</t>
  </si>
  <si>
    <t>Nazwa</t>
  </si>
  <si>
    <t>Ogólne</t>
  </si>
  <si>
    <t>Techniczne</t>
  </si>
  <si>
    <t>[PLN/GJ]</t>
  </si>
  <si>
    <t>Otoczenie rynkowe</t>
  </si>
  <si>
    <t>Cena energii elektrycznej</t>
  </si>
  <si>
    <t>Cena ciepła</t>
  </si>
  <si>
    <t>[PLN/MWh]</t>
  </si>
  <si>
    <t>[GJ]</t>
  </si>
  <si>
    <t>Sprawność produkcji ciepła</t>
  </si>
  <si>
    <t>[lata]</t>
  </si>
  <si>
    <t>Okres dyskontowania</t>
  </si>
  <si>
    <t>Nakłady inwestycyjne</t>
  </si>
  <si>
    <t>Produkcja ciepła</t>
  </si>
  <si>
    <t>Współczynnik dyskontujący</t>
  </si>
  <si>
    <t>SOx</t>
  </si>
  <si>
    <t>pył</t>
  </si>
  <si>
    <t>NOx</t>
  </si>
  <si>
    <t>II.</t>
  </si>
  <si>
    <t>II.2</t>
  </si>
  <si>
    <t>II.2.1</t>
  </si>
  <si>
    <t>II.2.2</t>
  </si>
  <si>
    <t>II.2.3</t>
  </si>
  <si>
    <t>III.</t>
  </si>
  <si>
    <t>III.1</t>
  </si>
  <si>
    <t>III.1.1</t>
  </si>
  <si>
    <t>IV.</t>
  </si>
  <si>
    <t>IV.1</t>
  </si>
  <si>
    <t>IV.1.1</t>
  </si>
  <si>
    <t>Paliwo</t>
  </si>
  <si>
    <t>III.1.2</t>
  </si>
  <si>
    <t>Koszty stałe operacyjne</t>
  </si>
  <si>
    <t>Koszty zmienne operacyjne</t>
  </si>
  <si>
    <t>[kPLN/MW/rok]</t>
  </si>
  <si>
    <t>Czas eksploatacji</t>
  </si>
  <si>
    <t>III.1.3</t>
  </si>
  <si>
    <t>III.1.4</t>
  </si>
  <si>
    <t>III.1.5</t>
  </si>
  <si>
    <t>III.1.6</t>
  </si>
  <si>
    <t>II.3.1</t>
  </si>
  <si>
    <t>I.</t>
  </si>
  <si>
    <t>I.1</t>
  </si>
  <si>
    <t>I.1.1</t>
  </si>
  <si>
    <t>I.1.2</t>
  </si>
  <si>
    <t>I.1.3</t>
  </si>
  <si>
    <t>I.1.4</t>
  </si>
  <si>
    <t>I.2.</t>
  </si>
  <si>
    <t>I.2.1</t>
  </si>
  <si>
    <t>I.2.2</t>
  </si>
  <si>
    <t>I.2.3</t>
  </si>
  <si>
    <t>I.3.</t>
  </si>
  <si>
    <t>I.3.1</t>
  </si>
  <si>
    <t>I.3.2</t>
  </si>
  <si>
    <t>I.3.3</t>
  </si>
  <si>
    <t>I.3.4</t>
  </si>
  <si>
    <t>I.4</t>
  </si>
  <si>
    <t>I.4.1</t>
  </si>
  <si>
    <t>I.4.2</t>
  </si>
  <si>
    <t>I.4.3</t>
  </si>
  <si>
    <t>I.4.4</t>
  </si>
  <si>
    <t>II.3</t>
  </si>
  <si>
    <t>II.3.1.1</t>
  </si>
  <si>
    <t>II.3.1.3</t>
  </si>
  <si>
    <t>II.3.1.4</t>
  </si>
  <si>
    <t>II.3.1.5</t>
  </si>
  <si>
    <t>III.1.5.1</t>
  </si>
  <si>
    <t>III.1.5.2</t>
  </si>
  <si>
    <t>V.</t>
  </si>
  <si>
    <t>V.1.1</t>
  </si>
  <si>
    <t>V.1.2</t>
  </si>
  <si>
    <t>brak</t>
  </si>
  <si>
    <t>[MW]</t>
  </si>
  <si>
    <t>Ce = Rf + Be  x Rp  + Rsp</t>
  </si>
  <si>
    <t xml:space="preserve"> WACCr = (1 + WACCn) / (1 + I ) - 1 </t>
  </si>
  <si>
    <t xml:space="preserve"> WACCn (pre-tax)= E/(D+E) x Ce (pre-tax) +D/(D+E) x Cd (pre-tax) </t>
  </si>
  <si>
    <t xml:space="preserve"> WACCn (post-tax) = E/(D+E) x Ce +D/(D+E) x Cd </t>
  </si>
  <si>
    <t>Gaz ziemny wysokometanowy</t>
  </si>
  <si>
    <t xml:space="preserve">Bez wsparcia </t>
  </si>
  <si>
    <t>Sprawność ogólna netto</t>
  </si>
  <si>
    <t>Jednostkowa emisja spalin</t>
  </si>
  <si>
    <t>II.3.2</t>
  </si>
  <si>
    <t>II.3.2.1</t>
  </si>
  <si>
    <t>II.3.2.2</t>
  </si>
  <si>
    <t>II.3.2.3</t>
  </si>
  <si>
    <t>II.3.2.4</t>
  </si>
  <si>
    <t>Elektrociepłownia gazowa</t>
  </si>
  <si>
    <t>&gt; 300 MW</t>
  </si>
  <si>
    <t>Elektrociepłownia węglowa</t>
  </si>
  <si>
    <t>1.1</t>
  </si>
  <si>
    <t>1.2</t>
  </si>
  <si>
    <t>1.3</t>
  </si>
  <si>
    <t>1.4</t>
  </si>
  <si>
    <t>2.</t>
  </si>
  <si>
    <t>2.1</t>
  </si>
  <si>
    <t>2.2</t>
  </si>
  <si>
    <t>2.3</t>
  </si>
  <si>
    <t>Poziom dolny</t>
  </si>
  <si>
    <t>Poziom górny</t>
  </si>
  <si>
    <t>Sprawność ogólna [%]</t>
  </si>
  <si>
    <t>Pozostałe koszty zmienne [PLN/MWh]</t>
  </si>
  <si>
    <t>Wielkość jednostki</t>
  </si>
  <si>
    <t>Koszty stałe operacyjne [kPLN/MW/rok]</t>
  </si>
  <si>
    <t xml:space="preserve">Informacje </t>
  </si>
  <si>
    <t>Węgiel kamienny</t>
  </si>
  <si>
    <t>Nr</t>
  </si>
  <si>
    <t>I.1.5</t>
  </si>
  <si>
    <t>Moc w paliwie</t>
  </si>
  <si>
    <t>[MWt]</t>
  </si>
  <si>
    <t>50 - 100</t>
  </si>
  <si>
    <t>100 - 300</t>
  </si>
  <si>
    <t>&gt; 300</t>
  </si>
  <si>
    <t>Numer danych</t>
  </si>
  <si>
    <t>Typ paliwa</t>
  </si>
  <si>
    <t>Wynik</t>
  </si>
  <si>
    <t>&lt;50</t>
  </si>
  <si>
    <t>Moc elektryczna netto</t>
  </si>
  <si>
    <t>Kalkulacja kosztu kapitału własnego</t>
  </si>
  <si>
    <t>Beta</t>
  </si>
  <si>
    <t>Beta aktywów (odlewarowana) [Bea]</t>
  </si>
  <si>
    <t>Wskaźnik udziału długu w finansowaniu inwestycji [D/E]</t>
  </si>
  <si>
    <t>Struktura finansowania</t>
  </si>
  <si>
    <t>Udział kapitału własnego [ E/(D+E)]</t>
  </si>
  <si>
    <t>Udział długu [ D/(D+E) ]</t>
  </si>
  <si>
    <t xml:space="preserve">Beta kapitałów własnych (lewarowana) </t>
  </si>
  <si>
    <t xml:space="preserve">Beta kap. wł. = Beta aktywów  x ( 1 + ( D/E )) </t>
  </si>
  <si>
    <t>Stopa wolna od ryzyka [ Rf ]</t>
  </si>
  <si>
    <t>Beta kapitałów własnych [Be]</t>
  </si>
  <si>
    <t>Premia za ryzyko rynkowe [ Rp ]</t>
  </si>
  <si>
    <t>Premia za ryzyko specyficzne [ Rsp ]</t>
  </si>
  <si>
    <t>Koszt kapitału własnego [ Ce ]</t>
  </si>
  <si>
    <t>Koszt pozyskania finansowania dłużnego [M]</t>
  </si>
  <si>
    <t>Koszt finansowania dłużnego przed opodatkowaniem [ Cd pre-tax = Rf + M]</t>
  </si>
  <si>
    <t>Koszt finansowania dłużnego po opodatkowaniu</t>
  </si>
  <si>
    <t>WACC nominalny przed opodatkowaniem</t>
  </si>
  <si>
    <t>WACC nominalny po opodatkowaniu</t>
  </si>
  <si>
    <t>Średnia stopa inflacji [ I ]</t>
  </si>
  <si>
    <t>WACC realny przed opodatkowaniem</t>
  </si>
  <si>
    <t>Uwaga</t>
  </si>
  <si>
    <t>Kalkulacja kosztu kapitału obcego</t>
  </si>
  <si>
    <t xml:space="preserve">Koszt kapitału własnego przed opodatkowaniem [Ce pre-tax = Ce * (1 - t)] </t>
  </si>
  <si>
    <t>[ Cd = Cd pre-tax * (1-t) ]</t>
  </si>
  <si>
    <t>Stopa podatkowa [ t ]</t>
  </si>
  <si>
    <t>Numer telefonu:</t>
  </si>
  <si>
    <t>Numer faksu:</t>
  </si>
  <si>
    <t>Adres poczty elektronicznej:</t>
  </si>
  <si>
    <t>VI.</t>
  </si>
  <si>
    <t>VI.1</t>
  </si>
  <si>
    <t>VI.1.1</t>
  </si>
  <si>
    <t>VI.1.2</t>
  </si>
  <si>
    <t>VI.2.1</t>
  </si>
  <si>
    <t>VI.2.3</t>
  </si>
  <si>
    <t>VI.2.4</t>
  </si>
  <si>
    <t>VI.2.</t>
  </si>
  <si>
    <t>VI.3.</t>
  </si>
  <si>
    <t>VI.3.1</t>
  </si>
  <si>
    <t>VI.3.3</t>
  </si>
  <si>
    <t>VI.1.3</t>
  </si>
  <si>
    <t>II.1.1</t>
  </si>
  <si>
    <t>Nazwa:</t>
  </si>
  <si>
    <t>VI.4.</t>
  </si>
  <si>
    <t>VI.4.3</t>
  </si>
  <si>
    <t>VI.3.2</t>
  </si>
  <si>
    <t>VI.4.2</t>
  </si>
  <si>
    <t>Dane środowiskowe</t>
  </si>
  <si>
    <t>IV.1.2.1</t>
  </si>
  <si>
    <t>Poziomy emisji SOx</t>
  </si>
  <si>
    <t>Poziomy emisji NOx</t>
  </si>
  <si>
    <t>Poziomy emisji pyłu</t>
  </si>
  <si>
    <t>Do 50 MW</t>
  </si>
  <si>
    <t>&gt;50 – 100 MW</t>
  </si>
  <si>
    <t>&gt;100 – 300 MW</t>
  </si>
  <si>
    <t>2.4</t>
  </si>
  <si>
    <t>Poziomy emisji SOx [mg/Nm3]</t>
  </si>
  <si>
    <t>Poziomy emisji NOx [mg/Nm3]</t>
  </si>
  <si>
    <t>Poziomy emisji pyłu [mg/Nm3]</t>
  </si>
  <si>
    <t>Data złożenia wniosku:</t>
  </si>
  <si>
    <t>Nakłady inwestycyjne
[mPLN/MW]</t>
  </si>
  <si>
    <t>VI.1.4</t>
  </si>
  <si>
    <t>I.5.1</t>
  </si>
  <si>
    <t>I.5.2</t>
  </si>
  <si>
    <t>I.5.3</t>
  </si>
  <si>
    <t xml:space="preserve">Wytwarzanie rozdzielone </t>
  </si>
  <si>
    <t>Stopień wykorzsytania energii pierwotnej</t>
  </si>
  <si>
    <t>VI.4.1</t>
  </si>
  <si>
    <t>Cena gazu</t>
  </si>
  <si>
    <t>Cena węgla</t>
  </si>
  <si>
    <t>Cena EUA</t>
  </si>
  <si>
    <t>[PLN/EUA]</t>
  </si>
  <si>
    <t>Standardy techniczno-ekonomiczne</t>
  </si>
  <si>
    <t>Standardy emisyjne</t>
  </si>
  <si>
    <t>Podział jednostek
w zależności od mocy
w paliwie [MW]</t>
  </si>
  <si>
    <t>Podział jednostek
w zależności od mocy
elektrycznej netto [MW]</t>
  </si>
  <si>
    <t>VII.</t>
  </si>
  <si>
    <t>VII.1.</t>
  </si>
  <si>
    <t>VII.1.1</t>
  </si>
  <si>
    <t>VII.1.2</t>
  </si>
  <si>
    <t>VII.1.3</t>
  </si>
  <si>
    <t>VII.1.4</t>
  </si>
  <si>
    <t>VII.1.5</t>
  </si>
  <si>
    <t>VII.2.</t>
  </si>
  <si>
    <t>VII.2.1</t>
  </si>
  <si>
    <t>VII.2.2</t>
  </si>
  <si>
    <t>VII.2.3</t>
  </si>
  <si>
    <t>[tCO2/GJ]</t>
  </si>
  <si>
    <t>[Nm3/GJ]</t>
  </si>
  <si>
    <t>VII.2.4</t>
  </si>
  <si>
    <t>Dane dotyczące inwestycji - wypełnia wnioskodawca</t>
  </si>
  <si>
    <t xml:space="preserve">Dane środowiskowe </t>
  </si>
  <si>
    <t>VII.3.</t>
  </si>
  <si>
    <t>VII.3.1</t>
  </si>
  <si>
    <t>VII.3.2</t>
  </si>
  <si>
    <t>Dane obecnie wykorzystywane do oceny efektu zachęty</t>
  </si>
  <si>
    <t>Zwiekszenie stopnia wykorzystania energii pierwotnej</t>
  </si>
  <si>
    <t>II.2.5</t>
  </si>
  <si>
    <t>Dane</t>
  </si>
  <si>
    <r>
      <t>Emisyjność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paliwa</t>
    </r>
  </si>
  <si>
    <t>WACC realny po opodatkowaniu</t>
  </si>
  <si>
    <t>Średnia stopa inflacji</t>
  </si>
  <si>
    <t>Jednostka CHP</t>
  </si>
  <si>
    <t>VII.4.</t>
  </si>
  <si>
    <t>Wartości referencyjne przy wytwarzaniu rozdzielnym</t>
  </si>
  <si>
    <t>Jednostkowa emisja spalin -gaz ziemny wysokometanowy</t>
  </si>
  <si>
    <t>Jednostkowa emisja spalin -węgiel kamienny</t>
  </si>
  <si>
    <t>Ciepłownia - węgiel kamienny</t>
  </si>
  <si>
    <t>Elektrownia - węgiel kamienny</t>
  </si>
  <si>
    <t>Ciepłownia - gaz ziemny wysokometanowy</t>
  </si>
  <si>
    <t>Elektrownia - gaz ziemny wysokometanowy</t>
  </si>
  <si>
    <r>
      <t>Cena CO</t>
    </r>
    <r>
      <rPr>
        <vertAlign val="subscript"/>
        <sz val="10"/>
        <color theme="1"/>
        <rFont val="Arial"/>
        <family val="2"/>
        <charset val="238"/>
      </rPr>
      <t>2</t>
    </r>
  </si>
  <si>
    <t>II.1</t>
  </si>
  <si>
    <t>II.1.2</t>
  </si>
  <si>
    <t>II.1.3</t>
  </si>
  <si>
    <t>II.1.4</t>
  </si>
  <si>
    <t>Ocena spełnienia kryteriów do występowania efektu zachęty</t>
  </si>
  <si>
    <t>Wartość NPV bez wsparcia</t>
  </si>
  <si>
    <t>Wartość NPV warunkująca podjęcie inwestycji</t>
  </si>
  <si>
    <t>II.1.5</t>
  </si>
  <si>
    <t>II.1.6</t>
  </si>
  <si>
    <t>Dodatnie zdyskontowane przepływy pieniężne - suma z okresu eksploatacji</t>
  </si>
  <si>
    <t>Ocena pozytywnych efektów środowiskowych</t>
  </si>
  <si>
    <r>
      <t>Emisyjność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paliwa - gaz ziemny wysokometanowy</t>
    </r>
  </si>
  <si>
    <r>
      <t>Emisyjność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paliwa - węgiel kamienny</t>
    </r>
  </si>
  <si>
    <t>Finansowe</t>
  </si>
  <si>
    <t>I.5</t>
  </si>
  <si>
    <t>I.5.4</t>
  </si>
  <si>
    <t>I.5.5</t>
  </si>
  <si>
    <t>Poziom emisji SOx</t>
  </si>
  <si>
    <t>Poziom emisji NOx</t>
  </si>
  <si>
    <t>Poziom emisji pyłu</t>
  </si>
  <si>
    <t>Ocena spełnienia kryteriów do występowania efektu zachęty (cała jednostka)</t>
  </si>
  <si>
    <t>IV.1.2.2</t>
  </si>
  <si>
    <t>Zużycie energii pierwotnej - jednostka CHP</t>
  </si>
  <si>
    <t>[t]</t>
  </si>
  <si>
    <t>[mg/Nm3]</t>
  </si>
  <si>
    <r>
      <t>[tCO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/GJ]</t>
    </r>
  </si>
  <si>
    <t xml:space="preserve">Rok funkcjonowania </t>
  </si>
  <si>
    <t>Inwestycja objeta Wnioskiem CHP - bez wsparcia</t>
  </si>
  <si>
    <t>Nakłady inwestycyjne zindeksowane na pierwszy rok eksploatacji</t>
  </si>
  <si>
    <t>IV.1.2.</t>
  </si>
  <si>
    <t>Przychody ze sprzedaży energii elektrycznej</t>
  </si>
  <si>
    <t>Przychody ze sprzedaży ciepła</t>
  </si>
  <si>
    <t>Koszty zmienne paliwowe</t>
  </si>
  <si>
    <t xml:space="preserve">Wartości przepływów zdyskontowane </t>
  </si>
  <si>
    <t xml:space="preserve">Wartości przepływów operacyjnych realne niezdyskontowane </t>
  </si>
  <si>
    <t>Dodatnie przepływy gotówkowe operacyjne</t>
  </si>
  <si>
    <t>Ujemne przepływy gotówkowe operacyjne</t>
  </si>
  <si>
    <t>Dodatnie przepływy gotówkowe operacyjne zdyskontowane</t>
  </si>
  <si>
    <t>Ujemne przepływy gotówkowe operacyjne zdyskontowane</t>
  </si>
  <si>
    <t>Saldo przepływów operacyjnych zdyskontowanych</t>
  </si>
  <si>
    <r>
      <t>Ocena spełnienia kryteriów do występowania efektu zachęty: musi być NPV</t>
    </r>
    <r>
      <rPr>
        <sz val="12"/>
        <color theme="1"/>
        <rFont val="Calibri"/>
        <family val="2"/>
        <charset val="238"/>
      </rPr>
      <t>«</t>
    </r>
    <r>
      <rPr>
        <sz val="10"/>
        <color theme="1"/>
        <rFont val="Arial"/>
        <family val="2"/>
        <charset val="238"/>
      </rPr>
      <t>0</t>
    </r>
  </si>
  <si>
    <t>Saldo przepływów operacyjnych</t>
  </si>
  <si>
    <t>Kalkulacje wielkości rocznych</t>
  </si>
  <si>
    <t>Wielkości produkcyjne</t>
  </si>
  <si>
    <t>Zużycie energii pierwotnej - wytwarzanie rozdzielone</t>
  </si>
  <si>
    <t xml:space="preserve">Roczna oszczedność energii pierwotnej </t>
  </si>
  <si>
    <t>Ciepło</t>
  </si>
  <si>
    <t>Energia elektryczna</t>
  </si>
  <si>
    <t>Roczne obnizenie  emisji</t>
  </si>
  <si>
    <r>
      <t>CO</t>
    </r>
    <r>
      <rPr>
        <vertAlign val="subscript"/>
        <sz val="10"/>
        <color theme="1"/>
        <rFont val="Arial"/>
        <family val="2"/>
        <charset val="238"/>
      </rPr>
      <t>2</t>
    </r>
  </si>
  <si>
    <r>
      <t>SO</t>
    </r>
    <r>
      <rPr>
        <vertAlign val="subscript"/>
        <sz val="10"/>
        <color theme="1"/>
        <rFont val="Arial"/>
        <family val="2"/>
        <charset val="238"/>
      </rPr>
      <t>2</t>
    </r>
  </si>
  <si>
    <t>Pyłu</t>
  </si>
  <si>
    <t>Zużycie energii pierwotnej na energię elektryczną i ciepło</t>
  </si>
  <si>
    <t xml:space="preserve">Zużycie energii pierwotnej na energię elektryczną </t>
  </si>
  <si>
    <t>Zużycie energii pierwotnej na ciepło</t>
  </si>
  <si>
    <t>Sumarycznie przy produkcji rozdzielonej</t>
  </si>
  <si>
    <t>III.1.6.1</t>
  </si>
  <si>
    <t>III.1.6.2</t>
  </si>
  <si>
    <t>III.1.6.3</t>
  </si>
  <si>
    <t>III.1.6.4</t>
  </si>
  <si>
    <t>Emisje</t>
  </si>
  <si>
    <r>
      <t>[tCO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</si>
  <si>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r>
      <t>[tSO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</si>
  <si>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r>
      <t>[tNO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]</t>
    </r>
  </si>
  <si>
    <t>[tpyłów]</t>
  </si>
  <si>
    <t xml:space="preserve">Udział obniżenie emisji w emisji wytwarzania rozdzielonego </t>
  </si>
  <si>
    <t>Ujemne zdyskontowane przepływy pieniężne - suma z okresu eksploatacji i nakłady inwestycyjne</t>
  </si>
  <si>
    <t>Kalkulacje NPV</t>
  </si>
  <si>
    <t>NPV = suma rocznych sald przepływów operacyjnych zdyskontowanych minus nakłady inwestycyjne zindeksowane na pierwszy rok eksploatacji</t>
  </si>
  <si>
    <t>[mln PLN]</t>
  </si>
  <si>
    <t>[TWh]</t>
  </si>
  <si>
    <t>IV.2</t>
  </si>
  <si>
    <t>IV.3</t>
  </si>
  <si>
    <t>IV.2.1</t>
  </si>
  <si>
    <t>IV.2.2</t>
  </si>
  <si>
    <t>IV.2.3</t>
  </si>
  <si>
    <t>IV.2.4</t>
  </si>
  <si>
    <t>IV.2.5</t>
  </si>
  <si>
    <t>IV.2.6</t>
  </si>
  <si>
    <t>IV.2.7</t>
  </si>
  <si>
    <t>IV.2.8</t>
  </si>
  <si>
    <t>IV.2.9</t>
  </si>
  <si>
    <t>IV.2.10</t>
  </si>
  <si>
    <t>IV.3.1</t>
  </si>
  <si>
    <t>IV.3.2</t>
  </si>
  <si>
    <t>IV.3.3</t>
  </si>
  <si>
    <t>IV.3.4</t>
  </si>
  <si>
    <t>IV.3.5</t>
  </si>
  <si>
    <t>Indeksacja nakładów inwestycyjnych</t>
  </si>
  <si>
    <t>Rok budowy</t>
  </si>
  <si>
    <t>Naklady nominalne w poszczególnych latach</t>
  </si>
  <si>
    <t>współczynnik indeksacji</t>
  </si>
  <si>
    <t>Zindeksowana wartość nakładów inwestycyjnych</t>
  </si>
  <si>
    <t>Suma</t>
  </si>
  <si>
    <t>Stopa dyskonta - WACC</t>
  </si>
  <si>
    <t>Wartości zindeksowane</t>
  </si>
  <si>
    <t>Wnioskodawca wypełnia tylko komórki oznaczone żółtym kolorem</t>
  </si>
  <si>
    <t>Pozycja "Nakłady inwestycyjne jednostkowe" wypełni się automatycznie po wprowadzeniu nakładów w poszczególnych latach budowy w arkuszu "Nakłady inwestycyjne"</t>
  </si>
  <si>
    <t>Wymagana kwota wsparcia - ekwiwalent dotacji brutto (EDB)</t>
  </si>
  <si>
    <t>Arkusz dokona obliczeń po wprowadzeniu danych Inwestycji w arkuszu Dane.</t>
  </si>
  <si>
    <t xml:space="preserve">Imię i nazwisko: </t>
  </si>
  <si>
    <t>Parametry Inwestycji</t>
  </si>
  <si>
    <t>Przy wypełnianiu należy korzystać z Instrukcji wypełniania części techniczno-ekonomicznej „Wniosek o potwierdzenie spełnienia efektu zachęty oraz wsparcia
w zakresie wytwarzania energii w wysokosprawnej kogeneracji”</t>
  </si>
  <si>
    <t>Okres eksploatacji</t>
  </si>
  <si>
    <r>
      <t>Koszt emisji CO</t>
    </r>
    <r>
      <rPr>
        <vertAlign val="subscript"/>
        <sz val="10"/>
        <color theme="1"/>
        <rFont val="Arial"/>
        <family val="2"/>
        <charset val="238"/>
      </rPr>
      <t>2</t>
    </r>
  </si>
  <si>
    <r>
      <t>Koszty emisji CO</t>
    </r>
    <r>
      <rPr>
        <vertAlign val="subscript"/>
        <sz val="10"/>
        <color theme="1"/>
        <rFont val="Arial"/>
        <family val="2"/>
        <charset val="238"/>
      </rPr>
      <t>2</t>
    </r>
  </si>
  <si>
    <t>IV.2.11</t>
  </si>
  <si>
    <t>[PLN]</t>
  </si>
  <si>
    <t>III.1.7</t>
  </si>
  <si>
    <t>Czas wykorzystania mocy elektrycznej netto</t>
  </si>
  <si>
    <t>Finansowe (liczone na 1MW mocy elektrycznej netto)</t>
  </si>
  <si>
    <t>Środowiskowe efekty inwestycji</t>
  </si>
  <si>
    <t>Czas wykorzystania mocy elektrycznej netto [h/a]</t>
  </si>
  <si>
    <t>Data złożenia Wniosku:</t>
  </si>
  <si>
    <t>Nazwa projektu/zadania inwestycyjnego bedącego przedmiotem Wniosku</t>
  </si>
  <si>
    <t>Imię, nazwisko i dane kontaktowe osoby uprawnionej do udzielania w imieniu przedsiębiorcy informacji w związku z Wnioskiem</t>
  </si>
  <si>
    <t>Data złożenia Wniosku</t>
  </si>
  <si>
    <t>Załącznik nr 1 - do formularza „Opis techniczno - ekonomiczny projektowanej inwestycji w zakresie wytwarzania energii elektrycznej w wysokosprawnej kogeneracji” - Analiza finansowa dotycząca warunków funkcjonowania infrastruktury objętej wnioskiem o udzielenie promesy koncesji (promesy zmiany koncesji)</t>
  </si>
  <si>
    <t>Dane dotyczące wnioskodawcy</t>
  </si>
  <si>
    <t>Firma i forma prawna wnioskodawcy</t>
  </si>
  <si>
    <t>Adres siedziby wnioskodawcy</t>
  </si>
  <si>
    <t>Skrócona nazwa wnioskodawcy i projektu</t>
  </si>
  <si>
    <t>Skrócona nazwa wnioskodawcy i projektu:</t>
  </si>
  <si>
    <t>Nazwa (jeśli inna niż nazwa wnioskodawcy):</t>
  </si>
  <si>
    <t>Adres (jeśli inny niż adres siedziby wnioskodawcy):</t>
  </si>
  <si>
    <t>Dane dotyczące wnioskodawcy i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</si>
</sst>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0"/>
    <numFmt numFmtId="165" formatCode="0.0%"/>
    <numFmt numFmtId="166" formatCode="#,##0.0"/>
    <numFmt numFmtId="167" formatCode="0.0"/>
    <numFmt numFmtId="168" formatCode="0.0000"/>
    <numFmt numFmtId="169" formatCode="#,##0.0000"/>
    <numFmt numFmtId="170" formatCode="0.00000"/>
  </numFmts>
  <fonts count="53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sz val="10"/>
      <name val="Times New Roman"/>
      <family val="1"/>
    </font>
    <font>
      <sz val="10"/>
      <name val="Arial CE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6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8" fillId="0" borderId="0" applyFill="0">
      <protection locked="0"/>
    </xf>
    <xf numFmtId="0" fontId="9" fillId="0" borderId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0" fontId="32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6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42" borderId="0" applyNumberFormat="0" applyBorder="0" applyAlignment="0" applyProtection="0"/>
    <xf numFmtId="0" fontId="17" fillId="8" borderId="0" applyNumberFormat="0" applyBorder="0" applyAlignment="0" applyProtection="0"/>
    <xf numFmtId="0" fontId="18" fillId="43" borderId="6" applyNumberFormat="0" applyAlignment="0" applyProtection="0"/>
    <xf numFmtId="0" fontId="19" fillId="44" borderId="7" applyNumberFormat="0" applyAlignment="0" applyProtection="0"/>
    <xf numFmtId="0" fontId="35" fillId="18" borderId="6" applyNumberFormat="0" applyAlignment="0" applyProtection="0"/>
    <xf numFmtId="0" fontId="36" fillId="45" borderId="8" applyNumberFormat="0" applyAlignment="0" applyProtection="0"/>
    <xf numFmtId="0" fontId="37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6" applyNumberFormat="0" applyAlignment="0" applyProtection="0"/>
    <xf numFmtId="0" fontId="38" fillId="0" borderId="12" applyNumberFormat="0" applyFill="0" applyAlignment="0" applyProtection="0"/>
    <xf numFmtId="0" fontId="39" fillId="46" borderId="7" applyNumberFormat="0" applyAlignment="0" applyProtection="0"/>
    <xf numFmtId="0" fontId="26" fillId="0" borderId="12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27" fillId="47" borderId="0" applyNumberFormat="0" applyBorder="0" applyAlignment="0" applyProtection="0"/>
    <xf numFmtId="0" fontId="43" fillId="48" borderId="0" applyNumberFormat="0" applyBorder="0" applyAlignment="0" applyProtection="0"/>
    <xf numFmtId="0" fontId="14" fillId="49" borderId="13" applyNumberFormat="0" applyAlignment="0" applyProtection="0"/>
    <xf numFmtId="0" fontId="44" fillId="45" borderId="6" applyNumberFormat="0" applyAlignment="0" applyProtection="0"/>
    <xf numFmtId="0" fontId="28" fillId="43" borderId="8" applyNumberFormat="0" applyAlignment="0" applyProtection="0"/>
    <xf numFmtId="9" fontId="14" fillId="0" borderId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4" fillId="50" borderId="13" applyNumberFormat="0" applyFont="0" applyAlignment="0" applyProtection="0"/>
    <xf numFmtId="0" fontId="31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left" indent="1"/>
    </xf>
    <xf numFmtId="0" fontId="6" fillId="0" borderId="0" xfId="0" applyFont="1" applyBorder="1"/>
    <xf numFmtId="0" fontId="0" fillId="0" borderId="0" xfId="0" applyAlignment="1">
      <alignment horizontal="left" indent="3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left" vertical="top" indent="2"/>
    </xf>
    <xf numFmtId="0" fontId="0" fillId="0" borderId="0" xfId="0" applyFont="1" applyFill="1" applyBorder="1"/>
    <xf numFmtId="0" fontId="6" fillId="4" borderId="0" xfId="0" applyFont="1" applyFill="1" applyBorder="1" applyAlignment="1">
      <alignment horizontal="left" indent="1"/>
    </xf>
    <xf numFmtId="0" fontId="6" fillId="4" borderId="0" xfId="0" applyFont="1" applyFill="1" applyBorder="1"/>
    <xf numFmtId="0" fontId="0" fillId="0" borderId="0" xfId="0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0" xfId="0" applyFill="1" applyBorder="1"/>
    <xf numFmtId="0" fontId="0" fillId="4" borderId="0" xfId="0" applyFill="1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0" xfId="0" applyBorder="1" applyAlignment="1">
      <alignment horizontal="left" indent="3"/>
    </xf>
    <xf numFmtId="4" fontId="0" fillId="0" borderId="0" xfId="0" applyNumberFormat="1" applyBorder="1"/>
    <xf numFmtId="9" fontId="0" fillId="0" borderId="0" xfId="0" applyNumberFormat="1" applyBorder="1"/>
    <xf numFmtId="0" fontId="6" fillId="0" borderId="0" xfId="0" applyFont="1" applyBorder="1" applyAlignment="1">
      <alignment horizontal="left" indent="3"/>
    </xf>
    <xf numFmtId="4" fontId="6" fillId="0" borderId="0" xfId="0" applyNumberFormat="1" applyFont="1" applyBorder="1"/>
    <xf numFmtId="0" fontId="6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left" indent="2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/>
    <xf numFmtId="4" fontId="0" fillId="0" borderId="0" xfId="0" applyNumberForma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Border="1"/>
    <xf numFmtId="3" fontId="0" fillId="0" borderId="0" xfId="0" applyNumberFormat="1" applyFill="1" applyBorder="1"/>
    <xf numFmtId="9" fontId="6" fillId="4" borderId="3" xfId="0" applyNumberFormat="1" applyFont="1" applyFill="1" applyBorder="1"/>
    <xf numFmtId="0" fontId="0" fillId="0" borderId="0" xfId="0" applyFill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 indent="3"/>
    </xf>
    <xf numFmtId="0" fontId="0" fillId="0" borderId="2" xfId="0" applyFill="1" applyBorder="1" applyAlignment="1">
      <alignment horizontal="left" indent="3"/>
    </xf>
    <xf numFmtId="1" fontId="0" fillId="0" borderId="0" xfId="0" applyNumberFormat="1" applyFill="1" applyBorder="1"/>
    <xf numFmtId="15" fontId="11" fillId="5" borderId="0" xfId="3" applyNumberFormat="1" applyFont="1" applyFill="1" applyBorder="1" applyAlignment="1">
      <alignment horizontal="center"/>
      <protection locked="0"/>
    </xf>
    <xf numFmtId="15" fontId="11" fillId="0" borderId="0" xfId="3" applyNumberFormat="1" applyFont="1" applyFill="1" applyBorder="1" applyAlignment="1">
      <alignment horizontal="center"/>
      <protection locked="0"/>
    </xf>
    <xf numFmtId="0" fontId="12" fillId="0" borderId="0" xfId="4" applyFont="1" applyFill="1" applyBorder="1"/>
    <xf numFmtId="0" fontId="12" fillId="0" borderId="0" xfId="0" applyFont="1" applyFill="1" applyBorder="1" applyAlignment="1">
      <alignment vertical="center"/>
    </xf>
    <xf numFmtId="40" fontId="11" fillId="0" borderId="0" xfId="3" applyNumberFormat="1" applyFont="1" applyFill="1" applyBorder="1" applyAlignment="1">
      <alignment horizontal="center"/>
      <protection locked="0"/>
    </xf>
    <xf numFmtId="43" fontId="11" fillId="0" borderId="0" xfId="2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40" fontId="12" fillId="0" borderId="0" xfId="3" applyNumberFormat="1" applyFont="1" applyFill="1" applyBorder="1" applyAlignment="1">
      <alignment horizontal="center"/>
      <protection locked="0"/>
    </xf>
    <xf numFmtId="0" fontId="11" fillId="0" borderId="0" xfId="4" applyFont="1" applyFill="1" applyBorder="1"/>
    <xf numFmtId="165" fontId="11" fillId="6" borderId="0" xfId="1" applyNumberFormat="1" applyFont="1" applyFill="1" applyBorder="1" applyAlignment="1">
      <alignment vertical="top" wrapText="1"/>
    </xf>
    <xf numFmtId="165" fontId="12" fillId="5" borderId="0" xfId="1" applyNumberFormat="1" applyFont="1" applyFill="1" applyBorder="1" applyAlignment="1">
      <alignment horizontal="right" vertical="top" wrapText="1"/>
    </xf>
    <xf numFmtId="165" fontId="12" fillId="0" borderId="0" xfId="1" applyNumberFormat="1" applyFont="1" applyFill="1" applyBorder="1" applyAlignment="1">
      <alignment horizontal="right" vertical="top" wrapText="1"/>
    </xf>
    <xf numFmtId="166" fontId="11" fillId="0" borderId="0" xfId="4" applyNumberFormat="1" applyFont="1" applyFill="1" applyBorder="1" applyAlignment="1">
      <alignment horizontal="right" vertical="top" wrapText="1"/>
    </xf>
    <xf numFmtId="10" fontId="12" fillId="0" borderId="0" xfId="1" applyNumberFormat="1" applyFont="1" applyFill="1" applyBorder="1" applyAlignment="1" applyProtection="1">
      <alignment horizontal="right" vertical="center"/>
      <protection locked="0"/>
    </xf>
    <xf numFmtId="166" fontId="12" fillId="0" borderId="0" xfId="4" applyNumberFormat="1" applyFont="1" applyFill="1" applyBorder="1" applyAlignment="1">
      <alignment horizontal="right" vertical="top" wrapText="1"/>
    </xf>
    <xf numFmtId="43" fontId="12" fillId="0" borderId="0" xfId="2" applyFont="1" applyFill="1" applyBorder="1" applyAlignment="1" applyProtection="1">
      <alignment horizontal="right" vertical="center"/>
      <protection locked="0"/>
    </xf>
    <xf numFmtId="10" fontId="11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horizontal="right" vertical="center"/>
    </xf>
    <xf numFmtId="15" fontId="11" fillId="0" borderId="0" xfId="3" applyNumberFormat="1" applyFont="1" applyFill="1" applyBorder="1" applyAlignment="1">
      <alignment horizontal="right"/>
      <protection locked="0"/>
    </xf>
    <xf numFmtId="10" fontId="11" fillId="0" borderId="0" xfId="1" applyNumberFormat="1" applyFont="1" applyFill="1" applyBorder="1" applyAlignment="1">
      <alignment horizontal="right"/>
    </xf>
    <xf numFmtId="165" fontId="11" fillId="6" borderId="0" xfId="1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0" fontId="0" fillId="0" borderId="0" xfId="0" applyBorder="1" applyAlignment="1">
      <alignment horizontal="justify" vertical="center"/>
    </xf>
    <xf numFmtId="0" fontId="12" fillId="0" borderId="0" xfId="4" applyFont="1" applyFill="1" applyBorder="1"/>
    <xf numFmtId="10" fontId="11" fillId="0" borderId="0" xfId="1" applyNumberFormat="1" applyFont="1" applyFill="1" applyBorder="1" applyAlignment="1">
      <alignment horizontal="right"/>
    </xf>
    <xf numFmtId="0" fontId="6" fillId="3" borderId="0" xfId="0" applyFont="1" applyFill="1" applyBorder="1"/>
    <xf numFmtId="0" fontId="0" fillId="0" borderId="0" xfId="0" applyBorder="1" applyAlignment="1">
      <alignment horizontal="left" indent="1"/>
    </xf>
    <xf numFmtId="0" fontId="0" fillId="0" borderId="0" xfId="0"/>
    <xf numFmtId="4" fontId="0" fillId="0" borderId="0" xfId="0" applyNumberFormat="1" applyBorder="1"/>
    <xf numFmtId="0" fontId="0" fillId="0" borderId="0" xfId="0" applyFont="1" applyBorder="1" applyAlignment="1">
      <alignment horizontal="left" indent="3"/>
    </xf>
    <xf numFmtId="0" fontId="0" fillId="0" borderId="0" xfId="0"/>
    <xf numFmtId="0" fontId="6" fillId="0" borderId="0" xfId="0" applyFont="1" applyBorder="1"/>
    <xf numFmtId="0" fontId="0" fillId="0" borderId="0" xfId="0" applyFont="1" applyBorder="1" applyAlignment="1">
      <alignment horizontal="left" indent="3"/>
    </xf>
    <xf numFmtId="4" fontId="0" fillId="0" borderId="0" xfId="0" applyNumberFormat="1" applyBorder="1"/>
    <xf numFmtId="3" fontId="0" fillId="0" borderId="0" xfId="0" applyNumberFormat="1" applyBorder="1"/>
    <xf numFmtId="0" fontId="6" fillId="0" borderId="0" xfId="0" applyFont="1" applyFill="1" applyBorder="1"/>
    <xf numFmtId="0" fontId="0" fillId="0" borderId="0" xfId="0" applyFont="1" applyFill="1" applyBorder="1"/>
    <xf numFmtId="4" fontId="0" fillId="0" borderId="0" xfId="0" applyNumberFormat="1" applyFill="1" applyBorder="1" applyAlignment="1">
      <alignment horizontal="center"/>
    </xf>
    <xf numFmtId="0" fontId="10" fillId="5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vertical="center"/>
    </xf>
    <xf numFmtId="0" fontId="12" fillId="0" borderId="5" xfId="4" applyFont="1" applyFill="1" applyBorder="1"/>
    <xf numFmtId="10" fontId="11" fillId="0" borderId="1" xfId="1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9" fontId="0" fillId="0" borderId="0" xfId="1" applyFont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 indent="2"/>
    </xf>
    <xf numFmtId="10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/>
    <xf numFmtId="10" fontId="0" fillId="0" borderId="0" xfId="0" applyNumberFormat="1" applyFill="1" applyBorder="1"/>
    <xf numFmtId="169" fontId="0" fillId="0" borderId="0" xfId="0" applyNumberFormat="1" applyFill="1" applyBorder="1"/>
    <xf numFmtId="169" fontId="0" fillId="0" borderId="0" xfId="0" applyNumberFormat="1" applyFill="1"/>
    <xf numFmtId="3" fontId="0" fillId="0" borderId="0" xfId="0" applyNumberFormat="1" applyFont="1" applyFill="1" applyBorder="1"/>
    <xf numFmtId="0" fontId="0" fillId="0" borderId="0" xfId="0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0" xfId="5" applyFont="1" applyAlignment="1" applyProtection="1">
      <alignment horizontal="left"/>
    </xf>
    <xf numFmtId="0" fontId="5" fillId="0" borderId="0" xfId="5" applyFont="1" applyBorder="1" applyAlignment="1" applyProtection="1"/>
    <xf numFmtId="0" fontId="5" fillId="0" borderId="0" xfId="5" applyFont="1" applyAlignment="1" applyProtection="1">
      <alignment horizontal="center"/>
    </xf>
    <xf numFmtId="0" fontId="5" fillId="0" borderId="0" xfId="5" applyFont="1" applyAlignment="1" applyProtection="1"/>
    <xf numFmtId="0" fontId="5" fillId="0" borderId="0" xfId="5" applyFont="1" applyAlignment="1" applyProtection="1">
      <alignment horizontal="left" vertical="center"/>
    </xf>
    <xf numFmtId="0" fontId="0" fillId="0" borderId="0" xfId="5" applyFont="1" applyAlignment="1" applyProtection="1">
      <alignment vertical="center"/>
    </xf>
    <xf numFmtId="0" fontId="5" fillId="0" borderId="0" xfId="5" applyFont="1" applyAlignment="1" applyProtection="1">
      <alignment vertical="center"/>
    </xf>
    <xf numFmtId="0" fontId="5" fillId="0" borderId="0" xfId="5" applyFont="1" applyAlignment="1" applyProtection="1">
      <alignment horizontal="center" vertical="center"/>
    </xf>
    <xf numFmtId="0" fontId="4" fillId="0" borderId="0" xfId="5" applyProtection="1"/>
    <xf numFmtId="0" fontId="0" fillId="0" borderId="0" xfId="5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indent="1"/>
    </xf>
    <xf numFmtId="0" fontId="6" fillId="3" borderId="0" xfId="0" applyFont="1" applyFill="1" applyBorder="1" applyProtection="1"/>
    <xf numFmtId="0" fontId="0" fillId="0" borderId="0" xfId="0" applyBorder="1" applyAlignment="1" applyProtection="1">
      <alignment horizontal="left" indent="2"/>
    </xf>
    <xf numFmtId="0" fontId="0" fillId="0" borderId="0" xfId="0" applyBorder="1" applyProtection="1"/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 indent="2"/>
    </xf>
    <xf numFmtId="0" fontId="0" fillId="0" borderId="0" xfId="0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2" fontId="0" fillId="51" borderId="0" xfId="0" applyNumberFormat="1" applyFill="1" applyBorder="1" applyAlignment="1" applyProtection="1">
      <alignment horizontal="right"/>
    </xf>
    <xf numFmtId="170" fontId="0" fillId="51" borderId="0" xfId="0" applyNumberFormat="1" applyFill="1" applyBorder="1" applyAlignment="1" applyProtection="1">
      <alignment horizontal="right"/>
    </xf>
    <xf numFmtId="1" fontId="0" fillId="51" borderId="0" xfId="0" applyNumberFormat="1" applyFill="1" applyBorder="1" applyAlignment="1" applyProtection="1">
      <alignment horizontal="right"/>
    </xf>
    <xf numFmtId="10" fontId="0" fillId="51" borderId="0" xfId="1" applyNumberFormat="1" applyFont="1" applyFill="1" applyBorder="1" applyAlignment="1" applyProtection="1">
      <alignment horizontal="right"/>
    </xf>
    <xf numFmtId="168" fontId="0" fillId="0" borderId="0" xfId="0" applyNumberFormat="1" applyFill="1" applyBorder="1"/>
    <xf numFmtId="0" fontId="0" fillId="0" borderId="0" xfId="0" applyBorder="1" applyAlignment="1">
      <alignment horizontal="left" wrapText="1" indent="2"/>
    </xf>
    <xf numFmtId="0" fontId="0" fillId="0" borderId="0" xfId="0" applyBorder="1" applyAlignment="1">
      <alignment horizontal="left" vertical="top" indent="1"/>
    </xf>
    <xf numFmtId="0" fontId="6" fillId="4" borderId="0" xfId="0" applyFont="1" applyFill="1" applyBorder="1" applyAlignment="1">
      <alignment horizontal="left" vertical="top" indent="1"/>
    </xf>
    <xf numFmtId="0" fontId="6" fillId="3" borderId="0" xfId="0" applyFont="1" applyFill="1" applyBorder="1" applyAlignment="1">
      <alignment horizontal="left" vertical="top" indent="1"/>
    </xf>
    <xf numFmtId="0" fontId="6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 indent="1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 applyProtection="1">
      <alignment horizontal="right"/>
    </xf>
    <xf numFmtId="43" fontId="12" fillId="51" borderId="0" xfId="1" applyNumberFormat="1" applyFont="1" applyFill="1" applyBorder="1" applyAlignment="1" applyProtection="1">
      <alignment horizontal="left" vertical="center"/>
      <protection locked="0"/>
    </xf>
    <xf numFmtId="10" fontId="12" fillId="51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indent="2"/>
    </xf>
    <xf numFmtId="165" fontId="0" fillId="0" borderId="0" xfId="0" applyNumberFormat="1" applyFill="1" applyBorder="1"/>
    <xf numFmtId="165" fontId="0" fillId="0" borderId="0" xfId="0" applyNumberFormat="1" applyBorder="1"/>
    <xf numFmtId="165" fontId="0" fillId="0" borderId="0" xfId="0" applyNumberFormat="1"/>
    <xf numFmtId="165" fontId="0" fillId="0" borderId="0" xfId="1" applyNumberFormat="1" applyFont="1" applyBorder="1"/>
    <xf numFmtId="3" fontId="0" fillId="0" borderId="0" xfId="0" applyNumberFormat="1" applyFill="1" applyBorder="1" applyAlignment="1" applyProtection="1">
      <alignment horizontal="right"/>
      <protection hidden="1"/>
    </xf>
    <xf numFmtId="9" fontId="6" fillId="4" borderId="3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left" indent="3"/>
    </xf>
    <xf numFmtId="9" fontId="0" fillId="2" borderId="3" xfId="0" applyNumberFormat="1" applyFill="1" applyBorder="1" applyAlignment="1" applyProtection="1">
      <alignment horizontal="right"/>
      <protection hidden="1"/>
    </xf>
    <xf numFmtId="0" fontId="0" fillId="2" borderId="3" xfId="0" applyFill="1" applyBorder="1" applyAlignment="1" applyProtection="1">
      <alignment horizontal="right"/>
      <protection hidden="1"/>
    </xf>
    <xf numFmtId="3" fontId="0" fillId="2" borderId="3" xfId="0" applyNumberFormat="1" applyFill="1" applyBorder="1" applyAlignment="1" applyProtection="1">
      <alignment horizontal="right"/>
      <protection hidden="1"/>
    </xf>
    <xf numFmtId="2" fontId="0" fillId="2" borderId="3" xfId="0" applyNumberFormat="1" applyFill="1" applyBorder="1" applyAlignment="1" applyProtection="1">
      <alignment horizontal="right"/>
      <protection hidden="1"/>
    </xf>
    <xf numFmtId="9" fontId="0" fillId="51" borderId="0" xfId="0" applyNumberFormat="1" applyFill="1" applyBorder="1" applyAlignment="1">
      <alignment horizontal="center"/>
    </xf>
    <xf numFmtId="167" fontId="0" fillId="51" borderId="0" xfId="1" applyNumberFormat="1" applyFont="1" applyFill="1" applyBorder="1" applyAlignment="1">
      <alignment horizontal="center"/>
    </xf>
    <xf numFmtId="0" fontId="0" fillId="51" borderId="0" xfId="0" applyFill="1" applyBorder="1" applyAlignment="1">
      <alignment horizontal="center"/>
    </xf>
    <xf numFmtId="3" fontId="0" fillId="51" borderId="0" xfId="0" applyNumberFormat="1" applyFill="1" applyBorder="1" applyAlignment="1">
      <alignment horizontal="center"/>
    </xf>
    <xf numFmtId="166" fontId="0" fillId="51" borderId="0" xfId="0" applyNumberFormat="1" applyFill="1" applyBorder="1" applyAlignment="1">
      <alignment horizontal="center"/>
    </xf>
    <xf numFmtId="0" fontId="0" fillId="51" borderId="0" xfId="0" applyFill="1" applyBorder="1"/>
    <xf numFmtId="3" fontId="0" fillId="2" borderId="3" xfId="0" applyNumberFormat="1" applyFill="1" applyBorder="1" applyAlignment="1" applyProtection="1">
      <alignment horizontal="right"/>
      <protection locked="0" hidden="1"/>
    </xf>
    <xf numFmtId="164" fontId="6" fillId="0" borderId="0" xfId="0" applyNumberFormat="1" applyFont="1" applyBorder="1"/>
    <xf numFmtId="3" fontId="6" fillId="4" borderId="3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9" fontId="6" fillId="4" borderId="3" xfId="1" applyFont="1" applyFill="1" applyBorder="1"/>
    <xf numFmtId="4" fontId="0" fillId="0" borderId="0" xfId="0" applyNumberFormat="1"/>
    <xf numFmtId="3" fontId="0" fillId="0" borderId="0" xfId="0" applyNumberFormat="1"/>
    <xf numFmtId="0" fontId="0" fillId="52" borderId="0" xfId="0" applyFont="1" applyFill="1" applyBorder="1" applyAlignment="1">
      <alignment horizontal="left" vertical="top" indent="1"/>
    </xf>
    <xf numFmtId="0" fontId="6" fillId="52" borderId="0" xfId="0" applyFont="1" applyFill="1" applyBorder="1" applyAlignment="1">
      <alignment horizontal="left" wrapText="1" indent="3"/>
    </xf>
    <xf numFmtId="0" fontId="0" fillId="52" borderId="0" xfId="0" applyFont="1" applyFill="1" applyBorder="1" applyAlignment="1">
      <alignment horizontal="center" vertical="center"/>
    </xf>
    <xf numFmtId="164" fontId="6" fillId="52" borderId="0" xfId="0" applyNumberFormat="1" applyFont="1" applyFill="1" applyBorder="1" applyAlignment="1">
      <alignment vertical="center"/>
    </xf>
    <xf numFmtId="0" fontId="0" fillId="52" borderId="0" xfId="0" applyFill="1"/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0" borderId="0" xfId="0" applyBorder="1" applyAlignment="1">
      <alignment horizontal="left" vertical="top" indent="2"/>
    </xf>
    <xf numFmtId="2" fontId="0" fillId="3" borderId="16" xfId="0" applyNumberFormat="1" applyFill="1" applyBorder="1"/>
    <xf numFmtId="2" fontId="0" fillId="0" borderId="0" xfId="0" applyNumberFormat="1" applyBorder="1"/>
    <xf numFmtId="0" fontId="0" fillId="0" borderId="0" xfId="0"/>
    <xf numFmtId="0" fontId="6" fillId="4" borderId="0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0" fillId="2" borderId="0" xfId="0" applyNumberFormat="1" applyFill="1" applyBorder="1" applyAlignment="1">
      <alignment horizontal="right"/>
    </xf>
    <xf numFmtId="0" fontId="0" fillId="0" borderId="0" xfId="0"/>
    <xf numFmtId="0" fontId="0" fillId="0" borderId="0" xfId="0" applyBorder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" fontId="0" fillId="2" borderId="3" xfId="0" applyNumberFormat="1" applyFill="1" applyBorder="1" applyAlignment="1" applyProtection="1">
      <alignment horizontal="right"/>
      <protection hidden="1"/>
    </xf>
    <xf numFmtId="0" fontId="0" fillId="0" borderId="15" xfId="0" applyBorder="1"/>
    <xf numFmtId="0" fontId="0" fillId="0" borderId="15" xfId="0" applyBorder="1" applyAlignment="1">
      <alignment horizontal="center"/>
    </xf>
    <xf numFmtId="4" fontId="0" fillId="0" borderId="0" xfId="0" applyNumberFormat="1" applyFill="1" applyBorder="1" applyAlignment="1" applyProtection="1">
      <alignment horizontal="right"/>
      <protection hidden="1"/>
    </xf>
    <xf numFmtId="3" fontId="0" fillId="0" borderId="0" xfId="0" applyNumberFormat="1" applyFont="1" applyBorder="1" applyAlignment="1">
      <alignment horizontal="right"/>
    </xf>
    <xf numFmtId="0" fontId="0" fillId="0" borderId="0" xfId="0"/>
    <xf numFmtId="4" fontId="0" fillId="0" borderId="0" xfId="0" applyNumberFormat="1" applyBorder="1"/>
    <xf numFmtId="0" fontId="0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49" fillId="0" borderId="0" xfId="104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0" borderId="0" xfId="5" applyFont="1" applyAlignment="1" applyProtection="1"/>
  </cellXfs>
  <cellStyles count="10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akcent 1" xfId="15"/>
    <cellStyle name="20% - akcent 2" xfId="16"/>
    <cellStyle name="20% - akcent 3" xfId="17"/>
    <cellStyle name="20% - akcent 4" xfId="18"/>
    <cellStyle name="20% - akcent 5" xfId="19"/>
    <cellStyle name="20% - akcent 6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cent 1" xfId="27"/>
    <cellStyle name="40% - akcent 2" xfId="28"/>
    <cellStyle name="40% - akcent 3" xfId="29"/>
    <cellStyle name="40% - akcent 4" xfId="30"/>
    <cellStyle name="40% - akcent 5" xfId="31"/>
    <cellStyle name="40% - akcent 6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60% - akcent 1" xfId="39"/>
    <cellStyle name="60% - akcent 2" xfId="40"/>
    <cellStyle name="60% - akcent 3" xfId="41"/>
    <cellStyle name="60% - akcent 4" xfId="42"/>
    <cellStyle name="60% - akcent 5" xfId="43"/>
    <cellStyle name="60% - akcent 6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Akcent 1" xfId="51"/>
    <cellStyle name="Akcent 2" xfId="52"/>
    <cellStyle name="Akcent 3" xfId="53"/>
    <cellStyle name="Akcent 4" xfId="54"/>
    <cellStyle name="Akcent 5" xfId="55"/>
    <cellStyle name="Akcent 6" xfId="56"/>
    <cellStyle name="Bad 2" xfId="57"/>
    <cellStyle name="Calculation 2" xfId="58"/>
    <cellStyle name="Check Cell 2" xfId="59"/>
    <cellStyle name="Dane wejściowe" xfId="60"/>
    <cellStyle name="Dane wyjściowe" xfId="61"/>
    <cellStyle name="Dobre" xfId="62"/>
    <cellStyle name="Dziesiętny" xfId="2" builtinId="3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Input 2" xfId="69"/>
    <cellStyle name="Komórka połączona" xfId="70"/>
    <cellStyle name="Komórka zaznaczona" xfId="71"/>
    <cellStyle name="Linked Cell 2" xfId="72"/>
    <cellStyle name="Nagłówek 1" xfId="73"/>
    <cellStyle name="Nagłówek 2" xfId="74"/>
    <cellStyle name="Nagłówek 3" xfId="75"/>
    <cellStyle name="Nagłówek 4" xfId="76"/>
    <cellStyle name="Neutral 2" xfId="77"/>
    <cellStyle name="Neutralne" xfId="78"/>
    <cellStyle name="Normal 2" xfId="7"/>
    <cellStyle name="Normal 3" xfId="5"/>
    <cellStyle name="Normal 3 2" xfId="92"/>
    <cellStyle name="Normal 3 2 2" xfId="96"/>
    <cellStyle name="Normal 3 2 3" xfId="100"/>
    <cellStyle name="Normal 3 2 4" xfId="104"/>
    <cellStyle name="Normal 3 3" xfId="94"/>
    <cellStyle name="Normal 3 4" xfId="98"/>
    <cellStyle name="Normal 3 5" xfId="102"/>
    <cellStyle name="Normal_Model Energia Pro v.17" xfId="4"/>
    <cellStyle name="Normalny" xfId="0" builtinId="0"/>
    <cellStyle name="Normalny_Partex_DCF_base case x-ref" xfId="3"/>
    <cellStyle name="Note 2" xfId="79"/>
    <cellStyle name="Obliczenia" xfId="80"/>
    <cellStyle name="Output 2" xfId="81"/>
    <cellStyle name="Percent 2" xfId="82"/>
    <cellStyle name="Percent 3" xfId="6"/>
    <cellStyle name="Percent 3 2" xfId="93"/>
    <cellStyle name="Percent 3 2 2" xfId="97"/>
    <cellStyle name="Percent 3 2 3" xfId="101"/>
    <cellStyle name="Percent 3 2 4" xfId="105"/>
    <cellStyle name="Percent 3 3" xfId="95"/>
    <cellStyle name="Percent 3 4" xfId="99"/>
    <cellStyle name="Percent 3 5" xfId="103"/>
    <cellStyle name="Procentowy" xfId="1" builtinId="5"/>
    <cellStyle name="Style 1" xfId="8"/>
    <cellStyle name="Suma" xfId="83"/>
    <cellStyle name="Tekst objaśnienia" xfId="84"/>
    <cellStyle name="Tekst ostrzeżenia" xfId="85"/>
    <cellStyle name="Title 2" xfId="86"/>
    <cellStyle name="Total 2" xfId="87"/>
    <cellStyle name="Tytuł" xfId="88"/>
    <cellStyle name="Uwaga" xfId="89"/>
    <cellStyle name="Warning Text 2" xfId="90"/>
    <cellStyle name="Złe" xfId="91"/>
  </cellStyles>
  <dxfs count="0"/>
  <tableStyles count="0" defaultTableStyle="TableStyleMedium2" defaultPivotStyle="PivotStyleLight16"/>
  <colors>
    <mruColors>
      <color rgb="FFFFE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N1046"/>
  <sheetViews>
    <sheetView showGridLines="0" topLeftCell="A10" zoomScale="80" zoomScaleNormal="80" workbookViewId="0">
      <selection activeCell="A10" sqref="A1:XFD1048576"/>
    </sheetView>
  </sheetViews>
  <sheetFormatPr defaultRowHeight="12.75" x14ac:dyDescent="0.2"/>
  <cols>
    <col min="1" max="1" width="5" style="118" customWidth="1"/>
    <col min="2" max="2" width="8.140625" style="118" customWidth="1"/>
    <col min="3" max="3" width="55.140625" style="118" customWidth="1"/>
    <col min="4" max="4" width="12.28515625" style="118" customWidth="1"/>
    <col min="5" max="5" width="3.42578125" style="118" customWidth="1"/>
    <col min="6" max="6" width="56.5703125" style="118" customWidth="1"/>
    <col min="7" max="16384" width="9.140625" style="118"/>
  </cols>
  <sheetData>
    <row r="2" spans="2:6" ht="46.5" customHeight="1" x14ac:dyDescent="0.2">
      <c r="B2" s="237" t="s">
        <v>356</v>
      </c>
      <c r="C2" s="237"/>
      <c r="D2" s="237"/>
      <c r="E2" s="237"/>
      <c r="F2" s="237"/>
    </row>
    <row r="3" spans="2:6" ht="12" customHeight="1" x14ac:dyDescent="0.2">
      <c r="B3" s="119" t="s">
        <v>51</v>
      </c>
      <c r="C3" s="120" t="s">
        <v>357</v>
      </c>
      <c r="D3" s="119"/>
      <c r="E3" s="119"/>
      <c r="F3" s="119"/>
    </row>
    <row r="4" spans="2:6" ht="12" customHeight="1" x14ac:dyDescent="0.2">
      <c r="B4" s="121" t="s">
        <v>53</v>
      </c>
      <c r="C4" s="122" t="s">
        <v>358</v>
      </c>
      <c r="D4" s="123"/>
      <c r="E4" s="123"/>
      <c r="F4" s="191"/>
    </row>
    <row r="5" spans="2:6" ht="12" customHeight="1" x14ac:dyDescent="0.2">
      <c r="B5" s="121"/>
      <c r="C5" s="124"/>
      <c r="D5" s="124"/>
      <c r="E5" s="124"/>
      <c r="F5" s="124"/>
    </row>
    <row r="6" spans="2:6" ht="12" customHeight="1" x14ac:dyDescent="0.2">
      <c r="B6" s="119" t="s">
        <v>29</v>
      </c>
      <c r="C6" s="120" t="s">
        <v>359</v>
      </c>
      <c r="D6" s="120"/>
      <c r="E6" s="120"/>
      <c r="F6" s="120"/>
    </row>
    <row r="7" spans="2:6" ht="12" customHeight="1" x14ac:dyDescent="0.2">
      <c r="B7" s="121" t="s">
        <v>168</v>
      </c>
      <c r="C7" s="249" t="s">
        <v>359</v>
      </c>
      <c r="D7" s="125"/>
      <c r="E7" s="125"/>
      <c r="F7" s="183"/>
    </row>
    <row r="8" spans="2:6" ht="12" customHeight="1" x14ac:dyDescent="0.2">
      <c r="B8" s="126"/>
      <c r="C8" s="124"/>
      <c r="D8" s="124"/>
      <c r="E8" s="124"/>
      <c r="F8" s="124"/>
    </row>
    <row r="9" spans="2:6" ht="12" customHeight="1" x14ac:dyDescent="0.2">
      <c r="B9" s="119" t="s">
        <v>34</v>
      </c>
      <c r="C9" s="120" t="s">
        <v>354</v>
      </c>
      <c r="D9" s="120"/>
      <c r="E9" s="120"/>
      <c r="F9" s="120"/>
    </row>
    <row r="10" spans="2:6" ht="12" customHeight="1" x14ac:dyDescent="0.2">
      <c r="B10" s="121" t="s">
        <v>36</v>
      </c>
      <c r="C10" s="127" t="s">
        <v>339</v>
      </c>
      <c r="D10" s="128"/>
      <c r="E10" s="128"/>
      <c r="F10" s="183"/>
    </row>
    <row r="11" spans="2:6" ht="12" customHeight="1" x14ac:dyDescent="0.2">
      <c r="B11" s="121" t="s">
        <v>41</v>
      </c>
      <c r="C11" s="128" t="s">
        <v>153</v>
      </c>
      <c r="D11" s="128"/>
      <c r="E11" s="128"/>
      <c r="F11" s="183"/>
    </row>
    <row r="12" spans="2:6" ht="12" customHeight="1" x14ac:dyDescent="0.2">
      <c r="B12" s="121" t="s">
        <v>46</v>
      </c>
      <c r="C12" s="128" t="s">
        <v>154</v>
      </c>
      <c r="D12" s="128"/>
      <c r="E12" s="128"/>
      <c r="F12" s="183"/>
    </row>
    <row r="13" spans="2:6" ht="12" customHeight="1" x14ac:dyDescent="0.2">
      <c r="B13" s="121" t="s">
        <v>47</v>
      </c>
      <c r="C13" s="128" t="s">
        <v>155</v>
      </c>
      <c r="D13" s="128"/>
      <c r="E13" s="128"/>
      <c r="F13" s="183"/>
    </row>
    <row r="14" spans="2:6" ht="12" customHeight="1" x14ac:dyDescent="0.2">
      <c r="B14" s="121" t="s">
        <v>48</v>
      </c>
      <c r="C14" s="127" t="s">
        <v>362</v>
      </c>
      <c r="D14" s="128"/>
      <c r="E14" s="128"/>
      <c r="F14" s="183"/>
    </row>
    <row r="15" spans="2:6" ht="12" customHeight="1" x14ac:dyDescent="0.2">
      <c r="B15" s="121" t="s">
        <v>49</v>
      </c>
      <c r="C15" s="127" t="s">
        <v>363</v>
      </c>
      <c r="D15" s="128"/>
      <c r="E15" s="128"/>
      <c r="F15" s="183"/>
    </row>
    <row r="16" spans="2:6" ht="12" customHeight="1" x14ac:dyDescent="0.2">
      <c r="B16" s="121"/>
      <c r="C16" s="128"/>
      <c r="D16" s="128"/>
      <c r="E16" s="128"/>
      <c r="F16" s="128"/>
    </row>
    <row r="17" spans="1:6" ht="12" customHeight="1" x14ac:dyDescent="0.2">
      <c r="B17" s="119" t="s">
        <v>37</v>
      </c>
      <c r="C17" s="120" t="s">
        <v>353</v>
      </c>
      <c r="D17" s="120"/>
      <c r="E17" s="120"/>
      <c r="F17" s="120"/>
    </row>
    <row r="18" spans="1:6" ht="12" customHeight="1" x14ac:dyDescent="0.2">
      <c r="B18" s="121" t="s">
        <v>39</v>
      </c>
      <c r="C18" s="127" t="s">
        <v>169</v>
      </c>
      <c r="D18" s="128"/>
      <c r="E18" s="128"/>
      <c r="F18" s="183"/>
    </row>
    <row r="19" spans="1:6" ht="12" customHeight="1" x14ac:dyDescent="0.2">
      <c r="B19" s="126"/>
      <c r="C19" s="129"/>
      <c r="D19" s="129"/>
      <c r="E19" s="129"/>
      <c r="F19" s="129"/>
    </row>
    <row r="20" spans="1:6" ht="12" customHeight="1" x14ac:dyDescent="0.2">
      <c r="B20" s="119" t="s">
        <v>78</v>
      </c>
      <c r="C20" s="120" t="s">
        <v>360</v>
      </c>
      <c r="D20" s="120"/>
      <c r="E20" s="120"/>
      <c r="F20" s="120"/>
    </row>
    <row r="21" spans="1:6" ht="12" customHeight="1" x14ac:dyDescent="0.25">
      <c r="A21" s="130"/>
      <c r="B21" s="121" t="s">
        <v>79</v>
      </c>
      <c r="C21" s="131" t="s">
        <v>361</v>
      </c>
      <c r="D21" s="126"/>
      <c r="E21" s="126"/>
      <c r="F21" s="183"/>
    </row>
    <row r="22" spans="1:6" ht="12" customHeight="1" x14ac:dyDescent="0.25">
      <c r="A22" s="130"/>
      <c r="B22" s="121" t="s">
        <v>80</v>
      </c>
      <c r="C22" s="131" t="s">
        <v>355</v>
      </c>
      <c r="D22" s="126"/>
      <c r="E22" s="126"/>
      <c r="F22" s="183"/>
    </row>
    <row r="23" spans="1:6" ht="12" customHeight="1" x14ac:dyDescent="0.25">
      <c r="A23" s="130"/>
      <c r="B23" s="126"/>
      <c r="C23" s="126"/>
      <c r="D23" s="126"/>
      <c r="E23" s="126"/>
      <c r="F23" s="126"/>
    </row>
    <row r="24" spans="1:6" ht="12" customHeight="1" x14ac:dyDescent="0.2">
      <c r="A24" s="132"/>
      <c r="B24" s="119" t="s">
        <v>156</v>
      </c>
      <c r="C24" s="133" t="s">
        <v>217</v>
      </c>
      <c r="D24" s="119"/>
      <c r="E24" s="133"/>
      <c r="F24" s="119" t="s">
        <v>340</v>
      </c>
    </row>
    <row r="25" spans="1:6" ht="12" customHeight="1" x14ac:dyDescent="0.2">
      <c r="B25" s="134" t="s">
        <v>157</v>
      </c>
      <c r="C25" s="135" t="s">
        <v>12</v>
      </c>
      <c r="D25" s="134"/>
      <c r="E25" s="136"/>
      <c r="F25" s="136"/>
    </row>
    <row r="26" spans="1:6" ht="12" customHeight="1" x14ac:dyDescent="0.2">
      <c r="B26" s="121" t="s">
        <v>158</v>
      </c>
      <c r="C26" s="137" t="s">
        <v>11</v>
      </c>
      <c r="D26" s="121"/>
      <c r="E26" s="138"/>
      <c r="F26" s="167" t="s">
        <v>229</v>
      </c>
    </row>
    <row r="27" spans="1:6" ht="12" customHeight="1" x14ac:dyDescent="0.2">
      <c r="B27" s="121" t="s">
        <v>159</v>
      </c>
      <c r="C27" s="137" t="s">
        <v>40</v>
      </c>
      <c r="D27" s="121"/>
      <c r="E27" s="138"/>
      <c r="F27" s="182"/>
    </row>
    <row r="28" spans="1:6" ht="12" customHeight="1" x14ac:dyDescent="0.2">
      <c r="B28" s="121" t="s">
        <v>167</v>
      </c>
      <c r="C28" s="137" t="s">
        <v>342</v>
      </c>
      <c r="D28" s="121"/>
      <c r="E28" s="138"/>
      <c r="F28" s="175">
        <v>25</v>
      </c>
    </row>
    <row r="29" spans="1:6" ht="12" customHeight="1" x14ac:dyDescent="0.2">
      <c r="B29" s="121" t="s">
        <v>188</v>
      </c>
      <c r="C29" s="137" t="s">
        <v>111</v>
      </c>
      <c r="D29" s="121" t="s">
        <v>82</v>
      </c>
      <c r="E29" s="138"/>
      <c r="F29" s="182"/>
    </row>
    <row r="30" spans="1:6" ht="12" customHeight="1" x14ac:dyDescent="0.2">
      <c r="B30" s="121"/>
      <c r="C30" s="139"/>
      <c r="D30" s="121"/>
      <c r="E30" s="138"/>
      <c r="F30" s="140"/>
    </row>
    <row r="31" spans="1:6" ht="12" customHeight="1" x14ac:dyDescent="0.2">
      <c r="B31" s="134" t="s">
        <v>163</v>
      </c>
      <c r="C31" s="135" t="s">
        <v>13</v>
      </c>
      <c r="D31" s="134"/>
      <c r="E31" s="136"/>
      <c r="F31" s="141"/>
    </row>
    <row r="32" spans="1:6" ht="12" customHeight="1" x14ac:dyDescent="0.2">
      <c r="B32" s="121" t="s">
        <v>160</v>
      </c>
      <c r="C32" s="137" t="s">
        <v>89</v>
      </c>
      <c r="D32" s="121" t="s">
        <v>2</v>
      </c>
      <c r="E32" s="138"/>
      <c r="F32" s="181"/>
    </row>
    <row r="33" spans="1:14" ht="12" customHeight="1" x14ac:dyDescent="0.2">
      <c r="B33" s="121" t="s">
        <v>161</v>
      </c>
      <c r="C33" s="137" t="s">
        <v>3</v>
      </c>
      <c r="D33" s="121" t="s">
        <v>81</v>
      </c>
      <c r="E33" s="138"/>
      <c r="F33" s="182"/>
    </row>
    <row r="34" spans="1:14" ht="12" customHeight="1" x14ac:dyDescent="0.2">
      <c r="B34" s="121" t="s">
        <v>162</v>
      </c>
      <c r="C34" s="137" t="s">
        <v>348</v>
      </c>
      <c r="D34" s="121" t="s">
        <v>6</v>
      </c>
      <c r="E34" s="138"/>
      <c r="F34" s="183"/>
    </row>
    <row r="35" spans="1:14" ht="12" customHeight="1" x14ac:dyDescent="0.2">
      <c r="B35" s="121"/>
      <c r="C35" s="137"/>
      <c r="D35" s="121"/>
      <c r="E35" s="138"/>
      <c r="F35" s="142"/>
    </row>
    <row r="36" spans="1:14" ht="12" customHeight="1" x14ac:dyDescent="0.2">
      <c r="B36" s="134" t="s">
        <v>164</v>
      </c>
      <c r="C36" s="135" t="s">
        <v>349</v>
      </c>
      <c r="D36" s="134"/>
      <c r="E36" s="136"/>
      <c r="F36" s="141"/>
    </row>
    <row r="37" spans="1:14" ht="12" customHeight="1" x14ac:dyDescent="0.2">
      <c r="B37" s="121" t="s">
        <v>165</v>
      </c>
      <c r="C37" s="137" t="s">
        <v>23</v>
      </c>
      <c r="D37" s="121" t="s">
        <v>1</v>
      </c>
      <c r="E37" s="138"/>
      <c r="F37" s="227">
        <f>'Nakłady inwestycyjne'!J18</f>
        <v>0</v>
      </c>
    </row>
    <row r="38" spans="1:14" ht="12" customHeight="1" x14ac:dyDescent="0.2">
      <c r="B38" s="121" t="s">
        <v>172</v>
      </c>
      <c r="C38" s="143" t="s">
        <v>42</v>
      </c>
      <c r="D38" s="121" t="s">
        <v>44</v>
      </c>
      <c r="E38" s="138"/>
      <c r="F38" s="182"/>
    </row>
    <row r="39" spans="1:14" ht="12" customHeight="1" x14ac:dyDescent="0.2">
      <c r="B39" s="121" t="s">
        <v>166</v>
      </c>
      <c r="C39" s="137" t="s">
        <v>43</v>
      </c>
      <c r="D39" s="121" t="s">
        <v>18</v>
      </c>
      <c r="E39" s="138"/>
      <c r="F39" s="182"/>
    </row>
    <row r="40" spans="1:14" ht="12" customHeight="1" x14ac:dyDescent="0.2">
      <c r="B40" s="139"/>
      <c r="D40" s="144"/>
    </row>
    <row r="41" spans="1:14" ht="12" customHeight="1" x14ac:dyDescent="0.2">
      <c r="B41" s="134" t="s">
        <v>170</v>
      </c>
      <c r="C41" s="135" t="s">
        <v>174</v>
      </c>
      <c r="D41" s="134"/>
      <c r="E41" s="136"/>
      <c r="F41" s="141"/>
    </row>
    <row r="42" spans="1:14" ht="12" customHeight="1" x14ac:dyDescent="0.2">
      <c r="B42" s="121" t="s">
        <v>194</v>
      </c>
      <c r="C42" s="137" t="s">
        <v>176</v>
      </c>
      <c r="D42" s="145" t="s">
        <v>263</v>
      </c>
      <c r="E42" s="138"/>
      <c r="F42" s="184"/>
      <c r="I42" s="108"/>
      <c r="J42" s="108"/>
      <c r="K42" s="108"/>
      <c r="L42" s="108"/>
      <c r="M42" s="108"/>
      <c r="N42" s="106"/>
    </row>
    <row r="43" spans="1:14" ht="12" customHeight="1" x14ac:dyDescent="0.2">
      <c r="B43" s="121" t="s">
        <v>173</v>
      </c>
      <c r="C43" s="137" t="s">
        <v>177</v>
      </c>
      <c r="D43" s="145" t="s">
        <v>263</v>
      </c>
      <c r="E43" s="138"/>
      <c r="F43" s="184"/>
      <c r="I43" s="108"/>
      <c r="J43" s="108"/>
      <c r="K43" s="108"/>
      <c r="L43" s="108"/>
      <c r="M43" s="108"/>
      <c r="N43" s="107"/>
    </row>
    <row r="44" spans="1:14" ht="12" customHeight="1" x14ac:dyDescent="0.2">
      <c r="B44" s="121" t="s">
        <v>171</v>
      </c>
      <c r="C44" s="137" t="s">
        <v>178</v>
      </c>
      <c r="D44" s="145" t="s">
        <v>263</v>
      </c>
      <c r="F44" s="184"/>
      <c r="I44" s="108"/>
      <c r="J44" s="108"/>
      <c r="K44" s="108"/>
      <c r="L44" s="108"/>
      <c r="M44" s="108"/>
      <c r="N44" s="106"/>
    </row>
    <row r="45" spans="1:14" ht="12" customHeight="1" x14ac:dyDescent="0.2">
      <c r="B45" s="121"/>
      <c r="D45" s="144"/>
    </row>
    <row r="47" spans="1:14" ht="12" customHeight="1" x14ac:dyDescent="0.2">
      <c r="A47" s="132"/>
      <c r="B47" s="119" t="s">
        <v>203</v>
      </c>
      <c r="C47" s="133" t="s">
        <v>222</v>
      </c>
      <c r="D47" s="119"/>
      <c r="E47" s="133"/>
      <c r="F47" s="119"/>
    </row>
    <row r="48" spans="1:14" ht="12.75" customHeight="1" x14ac:dyDescent="0.2">
      <c r="B48" s="134" t="s">
        <v>204</v>
      </c>
      <c r="C48" s="135" t="s">
        <v>15</v>
      </c>
      <c r="D48" s="134"/>
      <c r="E48" s="136"/>
      <c r="F48" s="136"/>
    </row>
    <row r="49" spans="2:6" ht="12.75" customHeight="1" x14ac:dyDescent="0.2">
      <c r="B49" s="121" t="s">
        <v>205</v>
      </c>
      <c r="C49" s="137" t="s">
        <v>16</v>
      </c>
      <c r="D49" s="121" t="s">
        <v>18</v>
      </c>
      <c r="F49" s="147">
        <v>181.55</v>
      </c>
    </row>
    <row r="50" spans="2:6" ht="12.75" customHeight="1" x14ac:dyDescent="0.2">
      <c r="B50" s="121" t="s">
        <v>206</v>
      </c>
      <c r="C50" s="137" t="s">
        <v>17</v>
      </c>
      <c r="D50" s="121" t="s">
        <v>14</v>
      </c>
      <c r="F50" s="147">
        <v>58.23</v>
      </c>
    </row>
    <row r="51" spans="2:6" ht="12.75" customHeight="1" x14ac:dyDescent="0.2">
      <c r="B51" s="121" t="s">
        <v>207</v>
      </c>
      <c r="C51" s="137" t="s">
        <v>195</v>
      </c>
      <c r="D51" s="121" t="s">
        <v>14</v>
      </c>
      <c r="F51" s="147">
        <v>40.43</v>
      </c>
    </row>
    <row r="52" spans="2:6" ht="12" customHeight="1" x14ac:dyDescent="0.2">
      <c r="B52" s="121" t="s">
        <v>208</v>
      </c>
      <c r="C52" s="137" t="s">
        <v>196</v>
      </c>
      <c r="D52" s="121" t="s">
        <v>14</v>
      </c>
      <c r="F52" s="147">
        <v>13.92</v>
      </c>
    </row>
    <row r="53" spans="2:6" ht="12.75" customHeight="1" x14ac:dyDescent="0.2">
      <c r="B53" s="121" t="s">
        <v>209</v>
      </c>
      <c r="C53" s="137" t="s">
        <v>197</v>
      </c>
      <c r="D53" s="121" t="s">
        <v>198</v>
      </c>
      <c r="F53" s="147">
        <v>19</v>
      </c>
    </row>
    <row r="55" spans="2:6" x14ac:dyDescent="0.2">
      <c r="B55" s="134" t="s">
        <v>210</v>
      </c>
      <c r="C55" s="135" t="s">
        <v>218</v>
      </c>
      <c r="D55" s="134"/>
      <c r="E55" s="136"/>
      <c r="F55" s="141"/>
    </row>
    <row r="56" spans="2:6" ht="12" customHeight="1" x14ac:dyDescent="0.3">
      <c r="B56" s="121" t="s">
        <v>211</v>
      </c>
      <c r="C56" s="137" t="s">
        <v>250</v>
      </c>
      <c r="D56" s="145" t="s">
        <v>214</v>
      </c>
      <c r="E56" s="138"/>
      <c r="F56" s="148">
        <v>5.5820000000000002E-2</v>
      </c>
    </row>
    <row r="57" spans="2:6" ht="12" customHeight="1" x14ac:dyDescent="0.3">
      <c r="B57" s="121" t="s">
        <v>212</v>
      </c>
      <c r="C57" s="137" t="s">
        <v>251</v>
      </c>
      <c r="D57" s="145" t="s">
        <v>214</v>
      </c>
      <c r="E57" s="138"/>
      <c r="F57" s="148">
        <v>9.4219999999999998E-2</v>
      </c>
    </row>
    <row r="58" spans="2:6" ht="12" customHeight="1" x14ac:dyDescent="0.2">
      <c r="B58" s="121" t="s">
        <v>213</v>
      </c>
      <c r="C58" s="137" t="s">
        <v>232</v>
      </c>
      <c r="D58" s="145" t="s">
        <v>215</v>
      </c>
      <c r="F58" s="149">
        <v>850</v>
      </c>
    </row>
    <row r="59" spans="2:6" ht="12" customHeight="1" x14ac:dyDescent="0.2">
      <c r="B59" s="121" t="s">
        <v>216</v>
      </c>
      <c r="C59" s="137" t="s">
        <v>233</v>
      </c>
      <c r="D59" s="145" t="s">
        <v>215</v>
      </c>
      <c r="F59" s="149">
        <v>360</v>
      </c>
    </row>
    <row r="60" spans="2:6" ht="12" customHeight="1" x14ac:dyDescent="0.2">
      <c r="B60" s="139"/>
      <c r="D60" s="144"/>
    </row>
    <row r="61" spans="2:6" ht="12" customHeight="1" x14ac:dyDescent="0.2">
      <c r="B61" s="134" t="s">
        <v>219</v>
      </c>
      <c r="C61" s="135" t="s">
        <v>231</v>
      </c>
      <c r="D61" s="134"/>
      <c r="E61" s="136"/>
      <c r="F61" s="141"/>
    </row>
    <row r="62" spans="2:6" ht="12" customHeight="1" x14ac:dyDescent="0.2">
      <c r="B62" s="121" t="s">
        <v>211</v>
      </c>
      <c r="C62" s="170" t="s">
        <v>234</v>
      </c>
      <c r="D62" s="145" t="s">
        <v>2</v>
      </c>
      <c r="E62" s="138"/>
      <c r="F62" s="150">
        <v>0.88</v>
      </c>
    </row>
    <row r="63" spans="2:6" ht="12" customHeight="1" x14ac:dyDescent="0.2">
      <c r="B63" s="121" t="s">
        <v>212</v>
      </c>
      <c r="C63" s="170" t="s">
        <v>235</v>
      </c>
      <c r="D63" s="144" t="s">
        <v>2</v>
      </c>
      <c r="E63" s="138"/>
      <c r="F63" s="150">
        <v>0.442</v>
      </c>
    </row>
    <row r="64" spans="2:6" ht="12" customHeight="1" x14ac:dyDescent="0.2">
      <c r="B64" s="121" t="s">
        <v>213</v>
      </c>
      <c r="C64" s="170" t="s">
        <v>236</v>
      </c>
      <c r="D64" s="145" t="s">
        <v>2</v>
      </c>
      <c r="F64" s="150">
        <v>0.9</v>
      </c>
    </row>
    <row r="65" spans="2:6" ht="12" customHeight="1" x14ac:dyDescent="0.2">
      <c r="B65" s="121" t="s">
        <v>216</v>
      </c>
      <c r="C65" s="170" t="s">
        <v>237</v>
      </c>
      <c r="D65" s="144" t="s">
        <v>2</v>
      </c>
      <c r="F65" s="150">
        <v>0.52500000000000002</v>
      </c>
    </row>
    <row r="66" spans="2:6" ht="12" customHeight="1" x14ac:dyDescent="0.2">
      <c r="B66" s="139"/>
      <c r="D66" s="144"/>
    </row>
    <row r="67" spans="2:6" ht="12" customHeight="1" x14ac:dyDescent="0.2">
      <c r="B67" s="134" t="s">
        <v>230</v>
      </c>
      <c r="C67" s="135" t="s">
        <v>252</v>
      </c>
      <c r="D67" s="134"/>
      <c r="E67" s="136"/>
      <c r="F67" s="141"/>
    </row>
    <row r="68" spans="2:6" ht="12" customHeight="1" x14ac:dyDescent="0.2">
      <c r="B68" s="121" t="s">
        <v>220</v>
      </c>
      <c r="C68" s="137" t="s">
        <v>147</v>
      </c>
      <c r="D68" s="145" t="s">
        <v>2</v>
      </c>
      <c r="F68" s="150">
        <f>WACC!D38</f>
        <v>7.3058811201445417E-2</v>
      </c>
    </row>
    <row r="69" spans="2:6" ht="12" customHeight="1" x14ac:dyDescent="0.2">
      <c r="B69" s="121" t="s">
        <v>221</v>
      </c>
      <c r="C69" s="143" t="s">
        <v>228</v>
      </c>
      <c r="D69" s="144" t="s">
        <v>2</v>
      </c>
      <c r="F69" s="150">
        <v>2.5000000000000001E-2</v>
      </c>
    </row>
    <row r="70" spans="2:6" ht="12" customHeight="1" x14ac:dyDescent="0.2">
      <c r="B70" s="139"/>
      <c r="D70" s="144"/>
    </row>
    <row r="71" spans="2:6" ht="12" customHeight="1" x14ac:dyDescent="0.2">
      <c r="B71" s="139"/>
      <c r="D71" s="144"/>
    </row>
    <row r="72" spans="2:6" ht="12" customHeight="1" x14ac:dyDescent="0.2">
      <c r="B72" s="146" t="s">
        <v>148</v>
      </c>
      <c r="D72" s="144"/>
    </row>
    <row r="73" spans="2:6" ht="45.75" customHeight="1" x14ac:dyDescent="0.2">
      <c r="B73" s="238" t="s">
        <v>341</v>
      </c>
      <c r="C73" s="238"/>
      <c r="D73" s="238"/>
      <c r="E73" s="238"/>
      <c r="F73" s="210"/>
    </row>
    <row r="74" spans="2:6" ht="12" customHeight="1" x14ac:dyDescent="0.2">
      <c r="B74" s="240" t="s">
        <v>335</v>
      </c>
      <c r="C74" s="240"/>
      <c r="D74" s="240"/>
      <c r="E74" s="240"/>
      <c r="F74" s="210"/>
    </row>
    <row r="75" spans="2:6" ht="54" customHeight="1" x14ac:dyDescent="0.2">
      <c r="B75" s="239" t="s">
        <v>336</v>
      </c>
      <c r="C75" s="239"/>
      <c r="D75" s="239"/>
      <c r="E75" s="239"/>
      <c r="F75" s="210"/>
    </row>
    <row r="76" spans="2:6" ht="12" customHeight="1" x14ac:dyDescent="0.2"/>
    <row r="77" spans="2:6" ht="12" customHeight="1" x14ac:dyDescent="0.2"/>
    <row r="78" spans="2:6" ht="12" customHeight="1" x14ac:dyDescent="0.2"/>
    <row r="79" spans="2:6" ht="12" customHeight="1" x14ac:dyDescent="0.2"/>
    <row r="80" spans="2: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</sheetData>
  <protectedRanges>
    <protectedRange sqref="F4 F7 F10:F15 F18 F21:F22 F27 F29 F32:F34 F37:F39 F42:F44" name="Range1"/>
  </protectedRanges>
  <customSheetViews>
    <customSheetView guid="{C75A5F74-EB46-4EC1-8574-01D849F3C8D4}" scale="60" showPageBreaks="1" showGridLines="0" view="pageBreakPreview">
      <selection activeCell="F1" sqref="B1:F1048576"/>
    </customSheetView>
    <customSheetView guid="{60DF9BBC-D692-423C-89AD-8A976478AE41}" scale="85" showGridLines="0" topLeftCell="A25">
      <selection activeCell="J33" sqref="J33"/>
      <pageMargins left="0.7" right="0.7" top="0.75" bottom="0.75" header="0.3" footer="0.3"/>
      <pageSetup paperSize="9" orientation="portrait" r:id="rId1"/>
    </customSheetView>
  </customSheetViews>
  <mergeCells count="4">
    <mergeCell ref="B2:F2"/>
    <mergeCell ref="B73:E73"/>
    <mergeCell ref="B75:E75"/>
    <mergeCell ref="B74:E74"/>
  </mergeCell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Kalkulacja!$C$127:$C$128</xm:f>
          </x14:formula1>
          <xm:sqref>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zoomScale="80" zoomScaleNormal="80" workbookViewId="0">
      <selection activeCell="C25" sqref="C25"/>
    </sheetView>
  </sheetViews>
  <sheetFormatPr defaultRowHeight="12.75" x14ac:dyDescent="0.2"/>
  <cols>
    <col min="1" max="1" width="2.85546875" style="108" customWidth="1"/>
    <col min="2" max="2" width="46" style="108" customWidth="1"/>
    <col min="3" max="3" width="11.85546875" style="108" customWidth="1"/>
    <col min="4" max="7" width="9.140625" style="108"/>
    <col min="8" max="8" width="9.140625" style="108" customWidth="1"/>
    <col min="9" max="9" width="23.28515625" style="108" customWidth="1"/>
    <col min="10" max="10" width="22.7109375" style="108" customWidth="1"/>
    <col min="11" max="11" width="13.140625" style="108" customWidth="1"/>
    <col min="12" max="16384" width="9.140625" style="108"/>
  </cols>
  <sheetData>
    <row r="1" spans="2:15" s="210" customFormat="1" ht="12.75" customHeight="1" x14ac:dyDescent="0.2">
      <c r="B1" s="212"/>
      <c r="C1" s="212"/>
      <c r="D1" s="213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2:15" s="210" customFormat="1" ht="12.75" customHeight="1" x14ac:dyDescent="0.2">
      <c r="B2" s="211" t="s">
        <v>361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2:15" s="210" customFormat="1" ht="12.75" customHeight="1" x14ac:dyDescent="0.2">
      <c r="B3" s="214">
        <f>Dane!F21</f>
        <v>0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2:15" s="210" customFormat="1" ht="12.75" customHeight="1" x14ac:dyDescent="0.2">
      <c r="B4" s="211" t="s">
        <v>186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2:15" s="210" customFormat="1" ht="12.75" customHeight="1" x14ac:dyDescent="0.2">
      <c r="B5" s="214">
        <f>Dane!F22</f>
        <v>0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2:15" s="210" customFormat="1" ht="12.75" customHeight="1" x14ac:dyDescent="0.2"/>
    <row r="7" spans="2:15" ht="12.75" customHeight="1" x14ac:dyDescent="0.2">
      <c r="B7" s="8" t="s">
        <v>327</v>
      </c>
      <c r="C7" s="154"/>
      <c r="D7" s="8"/>
      <c r="E7" s="154"/>
      <c r="F7" s="8"/>
      <c r="G7" s="154"/>
      <c r="H7" s="8"/>
      <c r="I7" s="8"/>
      <c r="J7" s="8"/>
    </row>
    <row r="8" spans="2:15" s="215" customFormat="1" ht="12.75" customHeight="1" x14ac:dyDescent="0.2">
      <c r="B8" s="218" t="s">
        <v>333</v>
      </c>
      <c r="C8" s="222" t="s">
        <v>2</v>
      </c>
      <c r="D8" s="223">
        <f>Dane!F68</f>
        <v>7.3058811201445417E-2</v>
      </c>
    </row>
    <row r="9" spans="2:15" ht="12.75" customHeight="1" x14ac:dyDescent="0.2">
      <c r="C9" s="39"/>
      <c r="D9" s="241" t="s">
        <v>328</v>
      </c>
      <c r="E9" s="241"/>
      <c r="F9" s="241"/>
      <c r="G9" s="241"/>
      <c r="H9" s="241"/>
      <c r="I9" s="241"/>
      <c r="J9" s="241"/>
    </row>
    <row r="10" spans="2:15" ht="12.75" customHeight="1" x14ac:dyDescent="0.2">
      <c r="D10" s="108">
        <v>-5</v>
      </c>
      <c r="E10" s="108">
        <v>-4</v>
      </c>
      <c r="F10" s="108">
        <v>-3</v>
      </c>
      <c r="G10" s="108">
        <v>-2</v>
      </c>
      <c r="H10" s="108">
        <v>-1</v>
      </c>
    </row>
    <row r="11" spans="2:15" ht="12.75" customHeight="1" x14ac:dyDescent="0.2">
      <c r="C11" s="203"/>
      <c r="D11" s="242" t="s">
        <v>329</v>
      </c>
      <c r="E11" s="242"/>
      <c r="F11" s="242"/>
      <c r="G11" s="242"/>
      <c r="H11" s="242"/>
      <c r="I11" s="204" t="s">
        <v>330</v>
      </c>
      <c r="J11" s="204" t="s">
        <v>334</v>
      </c>
    </row>
    <row r="12" spans="2:15" ht="12.75" customHeight="1" x14ac:dyDescent="0.2">
      <c r="B12" s="225" t="s">
        <v>331</v>
      </c>
      <c r="C12" s="226" t="s">
        <v>1</v>
      </c>
      <c r="D12" s="224"/>
      <c r="E12" s="220"/>
      <c r="F12" s="220"/>
      <c r="G12" s="220"/>
      <c r="H12" s="220"/>
      <c r="I12" s="220">
        <f>(1+D8)^5</f>
        <v>1.4227140654375239</v>
      </c>
      <c r="J12" s="209">
        <f>D12*I12</f>
        <v>0</v>
      </c>
    </row>
    <row r="13" spans="2:15" ht="12.75" customHeight="1" x14ac:dyDescent="0.2">
      <c r="B13" s="219" t="s">
        <v>331</v>
      </c>
      <c r="C13" s="221" t="s">
        <v>1</v>
      </c>
      <c r="D13" s="220"/>
      <c r="E13" s="224"/>
      <c r="F13" s="220"/>
      <c r="G13" s="220"/>
      <c r="H13" s="220"/>
      <c r="I13" s="220">
        <f>(1+D8)^4</f>
        <v>1.3258491059260662</v>
      </c>
      <c r="J13" s="209">
        <f>E13*I13</f>
        <v>0</v>
      </c>
    </row>
    <row r="14" spans="2:15" ht="12.75" customHeight="1" x14ac:dyDescent="0.2">
      <c r="B14" s="219" t="s">
        <v>331</v>
      </c>
      <c r="C14" s="221" t="s">
        <v>1</v>
      </c>
      <c r="D14" s="220"/>
      <c r="E14" s="220"/>
      <c r="F14" s="224"/>
      <c r="G14" s="220"/>
      <c r="H14" s="220"/>
      <c r="I14" s="220">
        <f>(1+D8)^3</f>
        <v>1.2355791612591904</v>
      </c>
      <c r="J14" s="209">
        <f>F14*I14</f>
        <v>0</v>
      </c>
    </row>
    <row r="15" spans="2:15" ht="12.75" customHeight="1" x14ac:dyDescent="0.2">
      <c r="B15" s="219" t="s">
        <v>331</v>
      </c>
      <c r="C15" s="221" t="s">
        <v>1</v>
      </c>
      <c r="D15" s="220"/>
      <c r="E15" s="220"/>
      <c r="F15" s="220"/>
      <c r="G15" s="224"/>
      <c r="H15" s="220"/>
      <c r="I15" s="220">
        <f>(1+D8)^2</f>
        <v>1.1514552122970594</v>
      </c>
      <c r="J15" s="209">
        <f>G15*I15</f>
        <v>0</v>
      </c>
    </row>
    <row r="16" spans="2:15" ht="12.75" customHeight="1" x14ac:dyDescent="0.2">
      <c r="B16" s="219" t="s">
        <v>331</v>
      </c>
      <c r="C16" s="221" t="s">
        <v>1</v>
      </c>
      <c r="D16" s="220"/>
      <c r="E16" s="220"/>
      <c r="F16" s="220"/>
      <c r="G16" s="220"/>
      <c r="H16" s="224"/>
      <c r="I16" s="220">
        <f>(1+D8)^1</f>
        <v>1.0730588112014454</v>
      </c>
      <c r="J16" s="209">
        <f>H16*I16</f>
        <v>0</v>
      </c>
    </row>
    <row r="17" spans="2:10" ht="12.75" customHeight="1" thickBot="1" x14ac:dyDescent="0.25">
      <c r="B17" s="219" t="s">
        <v>331</v>
      </c>
      <c r="C17" s="221" t="s">
        <v>1</v>
      </c>
      <c r="D17" s="220"/>
      <c r="E17" s="220"/>
      <c r="F17" s="220"/>
      <c r="G17" s="220"/>
      <c r="H17" s="220"/>
      <c r="I17" s="220"/>
      <c r="J17" s="209"/>
    </row>
    <row r="18" spans="2:10" ht="12.75" customHeight="1" thickBot="1" x14ac:dyDescent="0.25">
      <c r="B18" s="205" t="s">
        <v>332</v>
      </c>
      <c r="C18" s="206" t="s">
        <v>1</v>
      </c>
      <c r="D18" s="205"/>
      <c r="E18" s="205"/>
      <c r="F18" s="205"/>
      <c r="G18" s="205"/>
      <c r="H18" s="205"/>
      <c r="I18" s="205"/>
      <c r="J18" s="208">
        <f>SUM(J12:J16)</f>
        <v>0</v>
      </c>
    </row>
    <row r="19" spans="2:10" ht="12.75" customHeight="1" x14ac:dyDescent="0.2"/>
    <row r="20" spans="2:10" ht="12.75" customHeight="1" x14ac:dyDescent="0.2"/>
    <row r="21" spans="2:10" ht="12.75" customHeight="1" x14ac:dyDescent="0.2"/>
    <row r="22" spans="2:10" ht="12.75" customHeight="1" x14ac:dyDescent="0.2"/>
    <row r="23" spans="2:10" ht="12.75" customHeight="1" x14ac:dyDescent="0.2"/>
    <row r="24" spans="2:10" ht="12.75" customHeight="1" x14ac:dyDescent="0.2"/>
    <row r="25" spans="2:10" ht="12.75" customHeight="1" x14ac:dyDescent="0.2"/>
  </sheetData>
  <mergeCells count="2">
    <mergeCell ref="D9:J9"/>
    <mergeCell ref="D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O134"/>
  <sheetViews>
    <sheetView showGridLines="0" zoomScale="70" zoomScaleNormal="70" workbookViewId="0">
      <selection activeCell="F20" sqref="F20"/>
    </sheetView>
  </sheetViews>
  <sheetFormatPr defaultRowHeight="12.75" outlineLevelRow="1" outlineLevelCol="1" x14ac:dyDescent="0.2"/>
  <cols>
    <col min="1" max="1" width="5" customWidth="1"/>
    <col min="2" max="2" width="10.7109375" style="1" customWidth="1"/>
    <col min="3" max="3" width="92.85546875" customWidth="1"/>
    <col min="4" max="4" width="14.7109375" style="31" customWidth="1"/>
    <col min="5" max="8" width="11.140625" customWidth="1"/>
    <col min="9" max="11" width="11.140625" customWidth="1" outlineLevel="1"/>
    <col min="12" max="12" width="12.28515625" customWidth="1" outlineLevel="1"/>
    <col min="13" max="66" width="11.140625" customWidth="1"/>
  </cols>
  <sheetData>
    <row r="1" spans="2:66" s="34" customFormat="1" ht="16.5" customHeight="1" x14ac:dyDescent="0.2">
      <c r="D1" s="35"/>
    </row>
    <row r="2" spans="2:66" s="34" customFormat="1" ht="16.5" customHeight="1" x14ac:dyDescent="0.2">
      <c r="C2" s="8" t="s">
        <v>364</v>
      </c>
    </row>
    <row r="3" spans="2:66" s="34" customFormat="1" ht="16.5" customHeight="1" x14ac:dyDescent="0.2">
      <c r="C3" s="70">
        <f>Dane!F21</f>
        <v>0</v>
      </c>
    </row>
    <row r="4" spans="2:66" s="34" customFormat="1" ht="16.5" customHeight="1" x14ac:dyDescent="0.2">
      <c r="C4" s="8" t="s">
        <v>352</v>
      </c>
    </row>
    <row r="5" spans="2:66" s="34" customFormat="1" ht="16.5" customHeight="1" x14ac:dyDescent="0.2">
      <c r="C5" s="70">
        <f>Dane!F22</f>
        <v>0</v>
      </c>
    </row>
    <row r="6" spans="2:66" s="34" customFormat="1" ht="16.5" customHeight="1" x14ac:dyDescent="0.2">
      <c r="D6" s="35"/>
      <c r="N6" s="104"/>
      <c r="O6" s="104"/>
    </row>
    <row r="7" spans="2:66" x14ac:dyDescent="0.2">
      <c r="B7" s="154" t="s">
        <v>51</v>
      </c>
      <c r="C7" s="8" t="s">
        <v>225</v>
      </c>
      <c r="D7" s="111"/>
      <c r="E7" s="8"/>
      <c r="F7" s="8" t="s">
        <v>229</v>
      </c>
      <c r="G7" s="8"/>
      <c r="H7" s="8"/>
      <c r="I7" s="246" t="s">
        <v>192</v>
      </c>
      <c r="J7" s="246"/>
      <c r="K7" s="246"/>
      <c r="L7" s="246"/>
      <c r="M7" s="246"/>
      <c r="N7" s="104"/>
      <c r="O7" s="104"/>
      <c r="P7" s="2"/>
      <c r="Q7" s="2"/>
      <c r="R7" s="2"/>
      <c r="S7" s="2"/>
      <c r="T7" s="2"/>
      <c r="U7" s="2"/>
      <c r="V7" s="2"/>
      <c r="W7" s="2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2:66" x14ac:dyDescent="0.2">
      <c r="B8" s="155" t="s">
        <v>52</v>
      </c>
      <c r="C8" s="10" t="s">
        <v>12</v>
      </c>
      <c r="D8" s="158"/>
      <c r="E8" s="11"/>
      <c r="F8" s="11" t="s">
        <v>88</v>
      </c>
      <c r="G8" s="11"/>
      <c r="H8" s="11"/>
      <c r="I8" s="103"/>
      <c r="J8" s="103"/>
      <c r="K8" s="103"/>
      <c r="L8" s="103"/>
      <c r="M8" s="103"/>
      <c r="N8" s="104"/>
      <c r="O8" s="10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2:66" ht="24.75" customHeight="1" x14ac:dyDescent="0.2">
      <c r="B9" s="153" t="s">
        <v>53</v>
      </c>
      <c r="C9" s="207" t="s">
        <v>11</v>
      </c>
      <c r="D9" s="159"/>
      <c r="E9" s="9"/>
      <c r="F9" s="244" t="str">
        <f>Dane!F26</f>
        <v>Jednostka CHP</v>
      </c>
      <c r="G9" s="244"/>
      <c r="H9" s="99"/>
      <c r="I9" s="244" t="b">
        <f>IF(F10="Gaz ziemny wysokometanowy","Kocioł wodny gazowy",IF(F10="Węgiel kamienny","Kocioł wodny węglowy"))</f>
        <v>0</v>
      </c>
      <c r="J9" s="244"/>
      <c r="K9" s="112"/>
      <c r="L9" s="244" t="b">
        <f>IF(F10="Gaz ziemny wysokometanowy","Elektrownia kondensacyjna gazowa",IF(F10="Węgiel kamienny","Elektrownia kondensacyjna węglowa"))</f>
        <v>0</v>
      </c>
      <c r="M9" s="244"/>
      <c r="N9" s="104"/>
      <c r="O9" s="10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2:66" ht="28.5" customHeight="1" x14ac:dyDescent="0.2">
      <c r="B10" s="153" t="s">
        <v>54</v>
      </c>
      <c r="C10" s="207" t="s">
        <v>40</v>
      </c>
      <c r="D10" s="159"/>
      <c r="E10" s="9"/>
      <c r="F10" s="245">
        <f>Dane!F27</f>
        <v>0</v>
      </c>
      <c r="G10" s="245"/>
      <c r="H10" s="9"/>
      <c r="I10" s="14"/>
      <c r="J10" s="4"/>
      <c r="K10" s="2"/>
      <c r="L10" s="2"/>
      <c r="M10" s="80"/>
      <c r="N10" s="104"/>
      <c r="O10" s="10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2:66" ht="12.75" customHeight="1" x14ac:dyDescent="0.2">
      <c r="B11" s="153" t="s">
        <v>55</v>
      </c>
      <c r="C11" s="13" t="s">
        <v>45</v>
      </c>
      <c r="D11" s="159" t="s">
        <v>21</v>
      </c>
      <c r="E11" s="9"/>
      <c r="F11" s="14"/>
      <c r="G11" s="14">
        <f>Dane!F28</f>
        <v>25</v>
      </c>
      <c r="H11" s="9"/>
      <c r="I11" s="14"/>
      <c r="J11" s="14"/>
      <c r="K11" s="9"/>
      <c r="M11" s="9"/>
      <c r="N11" s="104"/>
      <c r="O11" s="10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2:66" ht="12.75" customHeight="1" x14ac:dyDescent="0.2">
      <c r="B12" s="153" t="s">
        <v>56</v>
      </c>
      <c r="C12" s="13" t="s">
        <v>126</v>
      </c>
      <c r="D12" s="159" t="s">
        <v>82</v>
      </c>
      <c r="E12" s="9"/>
      <c r="F12" s="14"/>
      <c r="G12" s="14">
        <f>Dane!F29</f>
        <v>0</v>
      </c>
      <c r="H12" s="9"/>
      <c r="J12" s="37" t="e">
        <f>G12/G17</f>
        <v>#DIV/0!</v>
      </c>
      <c r="K12" s="9"/>
      <c r="M12" s="9">
        <f>G12</f>
        <v>0</v>
      </c>
      <c r="N12" s="104"/>
      <c r="O12" s="10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2:66" ht="12.75" customHeight="1" x14ac:dyDescent="0.2">
      <c r="B13" s="153" t="s">
        <v>116</v>
      </c>
      <c r="C13" s="13" t="s">
        <v>117</v>
      </c>
      <c r="D13" s="159" t="s">
        <v>118</v>
      </c>
      <c r="E13" s="9"/>
      <c r="G13" s="45" t="e">
        <f>G12*(1+1/G17)/G16</f>
        <v>#DIV/0!</v>
      </c>
      <c r="H13" s="9"/>
      <c r="I13" s="37"/>
      <c r="J13" s="14"/>
      <c r="K13" s="9"/>
      <c r="L13" s="9"/>
      <c r="M13" s="104"/>
      <c r="N13" s="104"/>
      <c r="O13" s="10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2:66" ht="12.75" customHeight="1" x14ac:dyDescent="0.2">
      <c r="B14" s="153"/>
      <c r="C14" s="12"/>
      <c r="D14" s="159"/>
      <c r="E14" s="14"/>
      <c r="F14" s="14"/>
      <c r="G14" s="14"/>
      <c r="H14" s="14"/>
      <c r="I14" s="14"/>
      <c r="J14" s="14"/>
      <c r="K14" s="9"/>
      <c r="L14" s="9"/>
      <c r="M14" s="104"/>
      <c r="N14" s="104"/>
      <c r="O14" s="10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2:66" ht="12.75" customHeight="1" x14ac:dyDescent="0.2">
      <c r="B15" s="155" t="s">
        <v>57</v>
      </c>
      <c r="C15" s="10" t="s">
        <v>13</v>
      </c>
      <c r="D15" s="158"/>
      <c r="E15" s="11"/>
      <c r="F15" s="36"/>
      <c r="G15" s="11"/>
      <c r="H15" s="11"/>
      <c r="I15" s="36"/>
      <c r="J15" s="11"/>
      <c r="K15" s="11"/>
      <c r="L15" s="11"/>
      <c r="M15" s="103"/>
      <c r="N15" s="104"/>
      <c r="O15" s="10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2:66" ht="12.75" customHeight="1" x14ac:dyDescent="0.2">
      <c r="B16" s="153" t="s">
        <v>58</v>
      </c>
      <c r="C16" s="13" t="s">
        <v>89</v>
      </c>
      <c r="D16" s="159" t="s">
        <v>2</v>
      </c>
      <c r="E16" s="9"/>
      <c r="F16" s="14"/>
      <c r="G16" s="171">
        <f>Dane!F32</f>
        <v>0</v>
      </c>
      <c r="H16" s="172"/>
      <c r="I16" s="173"/>
      <c r="J16" s="174" t="b">
        <f>IF(F10="Gaz ziemny wysokometanowy",Dane!F64,IF(F10="Węgiel kamienny",Dane!F62))</f>
        <v>0</v>
      </c>
      <c r="K16" s="174"/>
      <c r="L16" s="173"/>
      <c r="M16" s="174" t="b">
        <f>IF(F10="Gaz ziemny wysokometanowy",Dane!F65,IF(F10="Węgiel kamienny",Dane!F63))</f>
        <v>0</v>
      </c>
      <c r="N16" s="104"/>
      <c r="O16" s="10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2:66" ht="12.75" customHeight="1" x14ac:dyDescent="0.2">
      <c r="B17" s="153" t="s">
        <v>59</v>
      </c>
      <c r="C17" s="13" t="s">
        <v>3</v>
      </c>
      <c r="D17" s="159" t="s">
        <v>4</v>
      </c>
      <c r="E17" s="9"/>
      <c r="F17" s="14"/>
      <c r="G17" s="33">
        <f>Dane!F33</f>
        <v>0</v>
      </c>
      <c r="H17" s="9"/>
      <c r="I17" s="14"/>
      <c r="J17" s="14"/>
      <c r="K17" s="9"/>
      <c r="M17" s="9"/>
      <c r="N17" s="104"/>
      <c r="O17" s="10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2:66" ht="12.75" customHeight="1" x14ac:dyDescent="0.2">
      <c r="B18" s="153" t="s">
        <v>60</v>
      </c>
      <c r="C18" s="13" t="s">
        <v>348</v>
      </c>
      <c r="D18" s="159" t="s">
        <v>6</v>
      </c>
      <c r="E18" s="9"/>
      <c r="F18" s="14"/>
      <c r="G18" s="37">
        <f>Dane!F34</f>
        <v>0</v>
      </c>
      <c r="H18" s="9"/>
      <c r="I18" s="14"/>
      <c r="J18" s="14"/>
      <c r="K18" s="9"/>
      <c r="M18" s="14"/>
      <c r="N18" s="104"/>
      <c r="O18" s="10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2:66" ht="12.75" customHeight="1" x14ac:dyDescent="0.2">
      <c r="B19" s="153"/>
      <c r="C19" s="12"/>
      <c r="D19" s="159"/>
      <c r="E19" s="14"/>
      <c r="F19" s="14"/>
      <c r="G19" s="14"/>
      <c r="H19" s="14"/>
      <c r="I19" s="14"/>
      <c r="J19" s="14"/>
      <c r="K19" s="9"/>
      <c r="L19" s="9"/>
      <c r="M19" s="104"/>
      <c r="N19" s="104"/>
      <c r="O19" s="10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2:66" ht="12.75" customHeight="1" x14ac:dyDescent="0.2">
      <c r="B20" s="155" t="s">
        <v>61</v>
      </c>
      <c r="C20" s="10" t="s">
        <v>349</v>
      </c>
      <c r="D20" s="158"/>
      <c r="E20" s="11"/>
      <c r="F20" s="36"/>
      <c r="G20" s="11"/>
      <c r="H20" s="11"/>
      <c r="I20" s="36"/>
      <c r="J20" s="11"/>
      <c r="K20" s="11"/>
      <c r="L20" s="103"/>
      <c r="M20" s="103"/>
      <c r="N20" s="104"/>
      <c r="O20" s="10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2:66" ht="12.75" customHeight="1" x14ac:dyDescent="0.2">
      <c r="B21" s="153" t="s">
        <v>62</v>
      </c>
      <c r="C21" s="13" t="s">
        <v>0</v>
      </c>
      <c r="D21" s="159" t="s">
        <v>1</v>
      </c>
      <c r="E21" s="9"/>
      <c r="G21" s="33">
        <f>Dane!F37</f>
        <v>0</v>
      </c>
      <c r="H21" s="9"/>
      <c r="I21" s="14"/>
      <c r="J21" s="33"/>
      <c r="K21" s="2"/>
      <c r="L21" s="9"/>
      <c r="M21" s="80"/>
      <c r="N21" s="104"/>
      <c r="O21" s="10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2:66" ht="12.75" customHeight="1" x14ac:dyDescent="0.2">
      <c r="B22" s="153" t="s">
        <v>63</v>
      </c>
      <c r="C22" s="13" t="s">
        <v>9</v>
      </c>
      <c r="D22" s="159" t="s">
        <v>2</v>
      </c>
      <c r="E22" s="9"/>
      <c r="G22" s="114">
        <f>WACC!D38</f>
        <v>7.3058811201445417E-2</v>
      </c>
      <c r="H22" s="9"/>
      <c r="J22" s="114"/>
      <c r="K22" s="9"/>
      <c r="L22" s="9"/>
      <c r="M22" s="104"/>
      <c r="N22" s="104"/>
      <c r="O22" s="10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2:66" ht="12.75" customHeight="1" x14ac:dyDescent="0.2">
      <c r="B23" s="153" t="s">
        <v>64</v>
      </c>
      <c r="C23" s="27" t="s">
        <v>42</v>
      </c>
      <c r="D23" s="159" t="s">
        <v>44</v>
      </c>
      <c r="E23" s="9"/>
      <c r="G23" s="14">
        <f>Dane!F38</f>
        <v>0</v>
      </c>
      <c r="H23" s="9"/>
      <c r="I23" s="14"/>
      <c r="J23" s="14"/>
      <c r="K23" s="9"/>
      <c r="L23" s="9"/>
      <c r="M23" s="104"/>
      <c r="N23" s="104"/>
      <c r="O23" s="10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2:66" ht="12.75" customHeight="1" x14ac:dyDescent="0.2">
      <c r="B24" s="153" t="s">
        <v>65</v>
      </c>
      <c r="C24" s="13" t="s">
        <v>43</v>
      </c>
      <c r="D24" s="159" t="s">
        <v>18</v>
      </c>
      <c r="E24" s="9"/>
      <c r="G24" s="14">
        <f>Dane!F39</f>
        <v>0</v>
      </c>
      <c r="H24" s="9"/>
      <c r="I24" s="14"/>
      <c r="J24" s="14"/>
      <c r="K24" s="9"/>
      <c r="L24" s="9"/>
      <c r="M24" s="104"/>
      <c r="N24" s="104"/>
      <c r="O24" s="10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2:66" ht="12.75" customHeight="1" x14ac:dyDescent="0.2">
      <c r="B25" s="153"/>
      <c r="D25" s="160"/>
      <c r="H25" s="33"/>
      <c r="I25" s="9"/>
      <c r="J25" s="14"/>
      <c r="K25" s="9"/>
      <c r="L25" s="9"/>
      <c r="M25" s="104"/>
      <c r="N25" s="104"/>
      <c r="O25" s="10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2:66" ht="12.75" customHeight="1" x14ac:dyDescent="0.2">
      <c r="B26" s="155" t="s">
        <v>66</v>
      </c>
      <c r="C26" s="10" t="s">
        <v>15</v>
      </c>
      <c r="D26" s="158"/>
      <c r="E26" s="11"/>
      <c r="F26" s="11"/>
      <c r="G26" s="11"/>
      <c r="H26" s="11"/>
      <c r="I26" s="11"/>
      <c r="J26" s="11"/>
      <c r="K26" s="11"/>
      <c r="L26" s="103"/>
      <c r="M26" s="103"/>
      <c r="N26" s="104"/>
      <c r="O26" s="10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2:66" ht="12.75" customHeight="1" x14ac:dyDescent="0.2">
      <c r="B27" s="153" t="s">
        <v>67</v>
      </c>
      <c r="C27" s="13" t="s">
        <v>16</v>
      </c>
      <c r="D27" s="159" t="s">
        <v>18</v>
      </c>
      <c r="E27" s="9"/>
      <c r="G27" s="113">
        <f>Dane!F49</f>
        <v>181.55</v>
      </c>
      <c r="H27" s="9"/>
      <c r="J27" s="113"/>
      <c r="K27" s="9"/>
      <c r="L27" s="9"/>
      <c r="M27" s="104"/>
      <c r="N27" s="104"/>
      <c r="O27" s="10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2:66" ht="12.75" customHeight="1" x14ac:dyDescent="0.2">
      <c r="B28" s="153" t="s">
        <v>68</v>
      </c>
      <c r="C28" s="13" t="s">
        <v>17</v>
      </c>
      <c r="D28" s="159" t="s">
        <v>14</v>
      </c>
      <c r="E28" s="9"/>
      <c r="G28" s="113">
        <f>Dane!F50</f>
        <v>58.23</v>
      </c>
      <c r="H28" s="9"/>
      <c r="J28" s="113"/>
      <c r="K28" s="9"/>
      <c r="L28" s="9"/>
      <c r="M28" s="104"/>
      <c r="N28" s="104"/>
      <c r="O28" s="10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2:66" ht="12.75" customHeight="1" x14ac:dyDescent="0.2">
      <c r="B29" s="153" t="s">
        <v>69</v>
      </c>
      <c r="C29" s="13" t="s">
        <v>10</v>
      </c>
      <c r="D29" s="159" t="s">
        <v>14</v>
      </c>
      <c r="E29" s="9"/>
      <c r="G29" s="113">
        <f>IF(F10="Gaz ziemny wysokometanowy",Dane!F51,IF(F10="Węgiel kamienny",Dane!F52,))</f>
        <v>0</v>
      </c>
      <c r="H29" s="9"/>
      <c r="J29" s="113"/>
      <c r="K29" s="9"/>
      <c r="L29" s="9"/>
      <c r="M29" s="104"/>
      <c r="N29" s="104"/>
      <c r="O29" s="10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2:66" s="108" customFormat="1" ht="12.75" customHeight="1" x14ac:dyDescent="0.3">
      <c r="B30" s="153" t="s">
        <v>70</v>
      </c>
      <c r="C30" s="105" t="s">
        <v>238</v>
      </c>
      <c r="D30" s="159" t="s">
        <v>198</v>
      </c>
      <c r="E30" s="104"/>
      <c r="G30" s="113">
        <f>Dane!F53</f>
        <v>19</v>
      </c>
      <c r="H30" s="104"/>
      <c r="J30" s="113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</row>
    <row r="31" spans="2:66" s="108" customFormat="1" ht="12.75" customHeight="1" x14ac:dyDescent="0.2">
      <c r="B31" s="153"/>
      <c r="C31" s="105"/>
      <c r="D31" s="159"/>
      <c r="E31" s="104"/>
      <c r="G31" s="113"/>
      <c r="H31" s="104"/>
      <c r="J31" s="113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</row>
    <row r="32" spans="2:66" s="108" customFormat="1" ht="12.75" customHeight="1" x14ac:dyDescent="0.2">
      <c r="B32" s="155" t="s">
        <v>253</v>
      </c>
      <c r="C32" s="102" t="s">
        <v>174</v>
      </c>
      <c r="D32" s="158"/>
      <c r="E32" s="103"/>
      <c r="F32" s="103"/>
      <c r="G32" s="103"/>
      <c r="H32" s="103"/>
      <c r="I32" s="103"/>
      <c r="J32" s="103"/>
      <c r="K32" s="103"/>
      <c r="L32" s="103"/>
      <c r="M32" s="103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</row>
    <row r="33" spans="2:66" s="108" customFormat="1" ht="12.75" customHeight="1" x14ac:dyDescent="0.2">
      <c r="B33" s="157" t="s">
        <v>189</v>
      </c>
      <c r="C33" s="137" t="s">
        <v>256</v>
      </c>
      <c r="D33" s="162" t="s">
        <v>263</v>
      </c>
      <c r="E33" s="104"/>
      <c r="G33" s="37">
        <f>Dane!F42</f>
        <v>0</v>
      </c>
      <c r="H33" s="6"/>
      <c r="I33"/>
      <c r="J33" s="117" t="e">
        <f>VLOOKUP($M$126,$B$124:$J$131,6)</f>
        <v>#DIV/0!</v>
      </c>
      <c r="K33" s="6"/>
      <c r="L33"/>
      <c r="M33" s="117" t="e">
        <f>VLOOKUP($M$126,$B$124:$J$131,6)</f>
        <v>#DIV/0!</v>
      </c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</row>
    <row r="34" spans="2:66" s="108" customFormat="1" ht="12.75" customHeight="1" x14ac:dyDescent="0.2">
      <c r="B34" s="157" t="s">
        <v>190</v>
      </c>
      <c r="C34" s="137" t="s">
        <v>257</v>
      </c>
      <c r="D34" s="162" t="s">
        <v>263</v>
      </c>
      <c r="E34" s="104"/>
      <c r="G34" s="37">
        <f>Dane!F43</f>
        <v>0</v>
      </c>
      <c r="H34" s="6"/>
      <c r="I34"/>
      <c r="J34" s="117" t="e">
        <f>VLOOKUP($M$126,$B$124:$J$131,7)</f>
        <v>#DIV/0!</v>
      </c>
      <c r="K34" s="6"/>
      <c r="L34"/>
      <c r="M34" s="117" t="e">
        <f>VLOOKUP($M$126,$B$124:$J$131,7)</f>
        <v>#DIV/0!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</row>
    <row r="35" spans="2:66" s="108" customFormat="1" ht="12.75" customHeight="1" x14ac:dyDescent="0.2">
      <c r="B35" s="157" t="s">
        <v>191</v>
      </c>
      <c r="C35" s="137" t="s">
        <v>258</v>
      </c>
      <c r="D35" s="162" t="s">
        <v>263</v>
      </c>
      <c r="E35" s="104"/>
      <c r="G35" s="37">
        <f>Dane!F44</f>
        <v>0</v>
      </c>
      <c r="H35" s="6"/>
      <c r="I35"/>
      <c r="J35" s="117" t="e">
        <f>VLOOKUP($M$126,$B$124:$J$131,8)</f>
        <v>#DIV/0!</v>
      </c>
      <c r="K35" s="6"/>
      <c r="L35"/>
      <c r="M35" s="117" t="e">
        <f>VLOOKUP($M$126,$B$124:$J$131,8)</f>
        <v>#DIV/0!</v>
      </c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</row>
    <row r="36" spans="2:66" s="108" customFormat="1" ht="12.75" customHeight="1" x14ac:dyDescent="0.3">
      <c r="B36" s="157" t="s">
        <v>254</v>
      </c>
      <c r="C36" s="13" t="s">
        <v>226</v>
      </c>
      <c r="D36" s="159" t="s">
        <v>264</v>
      </c>
      <c r="E36" s="14"/>
      <c r="F36"/>
      <c r="G36" s="151" t="b">
        <f>IF(F10="Gaz ziemny wysokometanowy",Dane!F56,IF(F10="Węgiel kamienny",Dane!F57))</f>
        <v>0</v>
      </c>
      <c r="H36" s="14"/>
      <c r="I36" s="39"/>
      <c r="J36" s="115" t="b">
        <f>G36</f>
        <v>0</v>
      </c>
      <c r="K36" s="115"/>
      <c r="L36" s="116"/>
      <c r="M36" s="115" t="b">
        <f>G36</f>
        <v>0</v>
      </c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</row>
    <row r="37" spans="2:66" s="108" customFormat="1" ht="12.75" customHeight="1" x14ac:dyDescent="0.2">
      <c r="B37" s="157" t="s">
        <v>255</v>
      </c>
      <c r="C37" s="25" t="s">
        <v>90</v>
      </c>
      <c r="D37" s="163" t="s">
        <v>215</v>
      </c>
      <c r="E37" s="4"/>
      <c r="F37"/>
      <c r="G37" s="85" t="b">
        <f>IF(F10="Gaz ziemny wysokometanowy",Dane!F58,IF(F10="Węgiel kamienny",Dane!F59))</f>
        <v>0</v>
      </c>
      <c r="H37" s="6"/>
      <c r="I37"/>
      <c r="J37" s="85" t="b">
        <f>G37</f>
        <v>0</v>
      </c>
      <c r="K37" s="6"/>
      <c r="L37"/>
      <c r="M37" s="85" t="b">
        <f>G37</f>
        <v>0</v>
      </c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</row>
    <row r="38" spans="2:66" s="108" customFormat="1" ht="12.75" customHeight="1" x14ac:dyDescent="0.2">
      <c r="B38" s="153"/>
      <c r="C38" s="105"/>
      <c r="D38" s="159"/>
      <c r="E38" s="104"/>
      <c r="G38" s="113"/>
      <c r="H38" s="104"/>
      <c r="J38" s="113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</row>
    <row r="39" spans="2:66" ht="12.75" customHeight="1" x14ac:dyDescent="0.2">
      <c r="B39" s="154" t="s">
        <v>29</v>
      </c>
      <c r="C39" s="8" t="s">
        <v>243</v>
      </c>
      <c r="D39" s="111"/>
      <c r="E39" s="28"/>
      <c r="F39" s="8" t="s">
        <v>229</v>
      </c>
      <c r="G39" s="28"/>
      <c r="H39" s="28"/>
      <c r="I39" s="246" t="s">
        <v>192</v>
      </c>
      <c r="J39" s="246"/>
      <c r="K39" s="246"/>
      <c r="L39" s="246"/>
      <c r="M39" s="246"/>
      <c r="N39" s="104"/>
      <c r="O39" s="104"/>
    </row>
    <row r="40" spans="2:66" s="108" customFormat="1" ht="12.75" customHeight="1" x14ac:dyDescent="0.2">
      <c r="B40" s="155" t="s">
        <v>239</v>
      </c>
      <c r="C40" s="95" t="s">
        <v>259</v>
      </c>
      <c r="D40" s="158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</row>
    <row r="41" spans="2:66" s="108" customFormat="1" ht="12.75" customHeight="1" x14ac:dyDescent="0.2">
      <c r="B41" s="153" t="s">
        <v>168</v>
      </c>
      <c r="C41" s="105" t="s">
        <v>244</v>
      </c>
      <c r="D41" s="162" t="s">
        <v>308</v>
      </c>
      <c r="E41" s="104"/>
      <c r="G41" s="192" t="e">
        <f>E114</f>
        <v>#DIV/0!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</row>
    <row r="42" spans="2:66" s="108" customFormat="1" ht="12.75" customHeight="1" x14ac:dyDescent="0.2">
      <c r="B42" s="153" t="s">
        <v>240</v>
      </c>
      <c r="C42" s="105" t="s">
        <v>245</v>
      </c>
      <c r="D42" s="162" t="s">
        <v>308</v>
      </c>
      <c r="E42" s="104"/>
      <c r="G42" s="83">
        <v>0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</row>
    <row r="43" spans="2:66" s="108" customFormat="1" ht="12.75" customHeight="1" x14ac:dyDescent="0.2">
      <c r="B43" s="153" t="s">
        <v>241</v>
      </c>
      <c r="C43" s="105" t="s">
        <v>248</v>
      </c>
      <c r="D43" s="162" t="s">
        <v>308</v>
      </c>
      <c r="E43" s="104"/>
      <c r="G43" s="32" t="e">
        <f>SUM(E111:AC111)</f>
        <v>#DIV/0!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</row>
    <row r="44" spans="2:66" s="108" customFormat="1" ht="12.75" customHeight="1" x14ac:dyDescent="0.2">
      <c r="B44" s="153" t="s">
        <v>242</v>
      </c>
      <c r="C44" s="105" t="s">
        <v>305</v>
      </c>
      <c r="D44" s="162" t="s">
        <v>308</v>
      </c>
      <c r="E44" s="104"/>
      <c r="G44" s="32" t="e">
        <f>SUM(E112:AC112)+E110</f>
        <v>#DIV/0!</v>
      </c>
      <c r="H44" s="83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</row>
    <row r="45" spans="2:66" s="108" customFormat="1" ht="12.75" customHeight="1" x14ac:dyDescent="0.25">
      <c r="B45" s="153" t="s">
        <v>246</v>
      </c>
      <c r="C45" s="105" t="s">
        <v>279</v>
      </c>
      <c r="D45" s="162" t="s">
        <v>308</v>
      </c>
      <c r="E45" s="104"/>
      <c r="G45" s="176" t="e">
        <f>IF(G41&lt;G42,"NPV &lt; 0","NPV ≥ 0")</f>
        <v>#DIV/0!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</row>
    <row r="46" spans="2:66" s="108" customFormat="1" ht="12.75" customHeight="1" x14ac:dyDescent="0.2">
      <c r="B46" s="153" t="s">
        <v>247</v>
      </c>
      <c r="C46" s="105" t="s">
        <v>337</v>
      </c>
      <c r="D46" s="162" t="s">
        <v>308</v>
      </c>
      <c r="E46" s="104"/>
      <c r="G46" s="193" t="e">
        <f>IF(G41&lt;0,-G41,"Brak")</f>
        <v>#DIV/0!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</row>
    <row r="47" spans="2:66" s="229" customFormat="1" ht="12.75" customHeight="1" x14ac:dyDescent="0.2">
      <c r="B47" s="154" t="s">
        <v>29</v>
      </c>
      <c r="C47" s="211" t="s">
        <v>350</v>
      </c>
      <c r="D47" s="236"/>
      <c r="E47" s="235"/>
      <c r="F47" s="211"/>
      <c r="G47" s="235"/>
      <c r="H47" s="235"/>
      <c r="I47" s="246"/>
      <c r="J47" s="246"/>
      <c r="K47" s="246"/>
      <c r="L47" s="246"/>
      <c r="M47" s="246"/>
      <c r="N47" s="219"/>
      <c r="O47" s="219"/>
    </row>
    <row r="48" spans="2:66" ht="12.75" customHeight="1" x14ac:dyDescent="0.2">
      <c r="B48" s="155" t="s">
        <v>30</v>
      </c>
      <c r="C48" s="95" t="s">
        <v>193</v>
      </c>
      <c r="D48" s="158"/>
      <c r="E48" s="11"/>
      <c r="F48" s="11"/>
      <c r="G48" s="11"/>
      <c r="H48" s="11"/>
      <c r="I48" s="103"/>
      <c r="J48" s="103"/>
      <c r="K48" s="103"/>
      <c r="L48" s="103"/>
      <c r="M48" s="103"/>
      <c r="N48" s="104"/>
      <c r="O48" s="104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2:66" ht="12.75" customHeight="1" x14ac:dyDescent="0.2">
      <c r="B49" s="153" t="s">
        <v>31</v>
      </c>
      <c r="C49" s="13" t="s">
        <v>261</v>
      </c>
      <c r="D49" s="159" t="s">
        <v>19</v>
      </c>
      <c r="E49" s="9"/>
      <c r="G49" s="16" t="e">
        <f>G74</f>
        <v>#DIV/0!</v>
      </c>
      <c r="H49" s="9"/>
      <c r="I49" s="9"/>
      <c r="J49" s="9"/>
      <c r="K49" s="9"/>
      <c r="L49" s="9"/>
      <c r="M49" s="104"/>
      <c r="N49" s="104"/>
      <c r="O49" s="104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2:66" ht="12.75" customHeight="1" x14ac:dyDescent="0.2">
      <c r="B50" s="153" t="s">
        <v>32</v>
      </c>
      <c r="C50" s="13" t="s">
        <v>283</v>
      </c>
      <c r="D50" s="159" t="s">
        <v>19</v>
      </c>
      <c r="E50" s="9"/>
      <c r="G50" s="16" t="e">
        <f>O74</f>
        <v>#DIV/0!</v>
      </c>
      <c r="H50" s="9"/>
      <c r="I50" s="9"/>
      <c r="J50" s="9"/>
      <c r="K50" s="9"/>
      <c r="L50" s="9"/>
      <c r="M50" s="104"/>
      <c r="N50" s="104"/>
      <c r="O50" s="104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2:66" s="108" customFormat="1" ht="12.75" customHeight="1" x14ac:dyDescent="0.2">
      <c r="B51" s="153" t="s">
        <v>33</v>
      </c>
      <c r="C51" s="105" t="s">
        <v>284</v>
      </c>
      <c r="D51" s="159" t="s">
        <v>19</v>
      </c>
      <c r="E51" s="104"/>
      <c r="G51" s="83" t="e">
        <f>-(G49-G50)</f>
        <v>#DIV/0!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</row>
    <row r="52" spans="2:66" s="108" customFormat="1" ht="12.75" customHeight="1" x14ac:dyDescent="0.2">
      <c r="B52" s="153" t="s">
        <v>224</v>
      </c>
      <c r="C52" s="152" t="s">
        <v>223</v>
      </c>
      <c r="D52" s="159" t="s">
        <v>2</v>
      </c>
      <c r="E52" s="9"/>
      <c r="F52"/>
      <c r="G52" s="38" t="e">
        <f>G51/G50</f>
        <v>#DIV/0!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</row>
    <row r="53" spans="2:66" ht="12.75" customHeight="1" x14ac:dyDescent="0.2">
      <c r="B53" s="153"/>
      <c r="C53" s="27"/>
      <c r="D53" s="159"/>
      <c r="E53" s="9"/>
      <c r="F53" s="16"/>
      <c r="G53" s="9"/>
      <c r="H53" s="9"/>
      <c r="I53" s="9"/>
      <c r="J53" s="9"/>
      <c r="K53" s="9"/>
      <c r="L53" s="9"/>
      <c r="M53" s="104"/>
      <c r="N53" s="104"/>
      <c r="O53" s="104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2:66" ht="12.75" customHeight="1" x14ac:dyDescent="0.2">
      <c r="B54" s="155" t="s">
        <v>71</v>
      </c>
      <c r="C54" s="10" t="s">
        <v>249</v>
      </c>
      <c r="D54" s="158"/>
      <c r="E54" s="11"/>
      <c r="F54" s="11"/>
      <c r="G54" s="11"/>
      <c r="H54" s="11"/>
      <c r="I54" s="11"/>
      <c r="J54" s="11"/>
      <c r="K54" s="11"/>
      <c r="L54" s="11"/>
      <c r="M54" s="103"/>
      <c r="N54" s="104"/>
      <c r="O54" s="104"/>
      <c r="P54" s="4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2:66" ht="12.75" customHeight="1" x14ac:dyDescent="0.2">
      <c r="B55" s="153" t="s">
        <v>50</v>
      </c>
      <c r="C55" s="5" t="s">
        <v>287</v>
      </c>
      <c r="D55" s="161"/>
      <c r="E55" s="4"/>
      <c r="F55" s="6"/>
      <c r="G55" s="4"/>
      <c r="H55" s="6"/>
      <c r="I55" s="4"/>
      <c r="M55" s="108"/>
      <c r="N55" s="104"/>
      <c r="O55" s="104"/>
      <c r="P55" s="4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2:66" ht="12.75" customHeight="1" x14ac:dyDescent="0.3">
      <c r="B56" s="153" t="s">
        <v>72</v>
      </c>
      <c r="C56" s="180" t="s">
        <v>288</v>
      </c>
      <c r="D56" s="162" t="s">
        <v>262</v>
      </c>
      <c r="E56" s="4"/>
      <c r="G56" s="37" t="e">
        <f>O78-G78</f>
        <v>#DIV/0!</v>
      </c>
      <c r="N56" s="104"/>
      <c r="O56" s="104"/>
      <c r="P56" s="4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2:66" ht="12.75" customHeight="1" x14ac:dyDescent="0.3">
      <c r="B57" s="153" t="s">
        <v>73</v>
      </c>
      <c r="C57" s="180" t="s">
        <v>289</v>
      </c>
      <c r="D57" s="162" t="s">
        <v>262</v>
      </c>
      <c r="E57" s="4"/>
      <c r="G57" s="194" t="e">
        <f>O79-G79</f>
        <v>#DIV/0!</v>
      </c>
      <c r="N57" s="104"/>
      <c r="O57" s="104"/>
      <c r="P57" s="4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2:66" ht="12.75" customHeight="1" x14ac:dyDescent="0.2">
      <c r="B58" s="153" t="s">
        <v>74</v>
      </c>
      <c r="C58" s="180" t="s">
        <v>28</v>
      </c>
      <c r="D58" s="162" t="s">
        <v>262</v>
      </c>
      <c r="E58" s="4"/>
      <c r="G58" s="194" t="e">
        <f t="shared" ref="G58:G59" si="0">O80-G80</f>
        <v>#DIV/0!</v>
      </c>
      <c r="N58" s="104"/>
      <c r="O58" s="104"/>
      <c r="P58" s="4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2:66" ht="12.75" customHeight="1" x14ac:dyDescent="0.2">
      <c r="B59" s="153" t="s">
        <v>75</v>
      </c>
      <c r="C59" s="180" t="s">
        <v>290</v>
      </c>
      <c r="D59" s="162" t="s">
        <v>262</v>
      </c>
      <c r="E59" s="4"/>
      <c r="G59" s="194" t="e">
        <f t="shared" si="0"/>
        <v>#DIV/0!</v>
      </c>
      <c r="N59" s="104"/>
      <c r="O59" s="104"/>
      <c r="P59" s="4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2:66" ht="12.75" customHeight="1" x14ac:dyDescent="0.2">
      <c r="B60" s="156"/>
      <c r="C60" s="21"/>
      <c r="D60" s="161"/>
      <c r="E60" s="4"/>
      <c r="G60" s="84"/>
      <c r="H60" s="4"/>
      <c r="J60" s="4"/>
      <c r="K60" s="4"/>
      <c r="M60" s="22"/>
      <c r="N60" s="104"/>
      <c r="O60" s="104"/>
      <c r="P60" s="4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2:66" ht="12.75" customHeight="1" x14ac:dyDescent="0.2">
      <c r="B61" s="153" t="s">
        <v>91</v>
      </c>
      <c r="C61" s="25" t="s">
        <v>304</v>
      </c>
      <c r="D61" s="161"/>
      <c r="E61" s="4"/>
      <c r="F61" s="4"/>
      <c r="G61" s="84"/>
      <c r="H61" s="4"/>
      <c r="J61" s="4"/>
      <c r="K61" s="4"/>
      <c r="L61" s="22"/>
      <c r="M61" s="84"/>
      <c r="N61" s="104"/>
      <c r="O61" s="104"/>
      <c r="P61" s="4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2:66" s="108" customFormat="1" ht="12.75" customHeight="1" x14ac:dyDescent="0.3">
      <c r="B62" s="153" t="s">
        <v>92</v>
      </c>
      <c r="C62" s="180" t="s">
        <v>288</v>
      </c>
      <c r="D62" s="162" t="s">
        <v>2</v>
      </c>
      <c r="E62" s="84"/>
      <c r="F62" s="84"/>
      <c r="G62" s="195" t="e">
        <f>G56/O78</f>
        <v>#DIV/0!</v>
      </c>
      <c r="H62" s="84"/>
      <c r="J62" s="84"/>
      <c r="K62" s="84"/>
      <c r="L62" s="22"/>
      <c r="M62" s="84"/>
      <c r="N62" s="104"/>
      <c r="O62" s="104"/>
      <c r="P62" s="8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</row>
    <row r="63" spans="2:66" s="108" customFormat="1" ht="12.75" customHeight="1" x14ac:dyDescent="0.3">
      <c r="B63" s="153" t="s">
        <v>93</v>
      </c>
      <c r="C63" s="180" t="s">
        <v>289</v>
      </c>
      <c r="D63" s="162" t="s">
        <v>2</v>
      </c>
      <c r="E63" s="84"/>
      <c r="F63" s="84"/>
      <c r="G63" s="195" t="e">
        <f t="shared" ref="G63:G65" si="1">G57/O79</f>
        <v>#DIV/0!</v>
      </c>
      <c r="H63" s="84"/>
      <c r="J63" s="84"/>
      <c r="K63" s="84"/>
      <c r="L63" s="22"/>
      <c r="M63" s="84"/>
      <c r="N63" s="104"/>
      <c r="O63" s="104"/>
      <c r="P63" s="8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</row>
    <row r="64" spans="2:66" s="108" customFormat="1" ht="12.75" customHeight="1" x14ac:dyDescent="0.2">
      <c r="B64" s="153" t="s">
        <v>94</v>
      </c>
      <c r="C64" s="180" t="s">
        <v>28</v>
      </c>
      <c r="D64" s="162" t="s">
        <v>2</v>
      </c>
      <c r="E64" s="84"/>
      <c r="F64" s="84"/>
      <c r="G64" s="195" t="e">
        <f t="shared" si="1"/>
        <v>#DIV/0!</v>
      </c>
      <c r="H64" s="84"/>
      <c r="J64" s="84"/>
      <c r="K64" s="84"/>
      <c r="L64" s="22"/>
      <c r="M64" s="84"/>
      <c r="N64" s="104"/>
      <c r="O64" s="104"/>
      <c r="P64" s="8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</row>
    <row r="65" spans="2:67" s="108" customFormat="1" ht="12.75" customHeight="1" x14ac:dyDescent="0.2">
      <c r="B65" s="153" t="s">
        <v>95</v>
      </c>
      <c r="C65" s="180" t="s">
        <v>290</v>
      </c>
      <c r="D65" s="162" t="s">
        <v>2</v>
      </c>
      <c r="E65" s="84"/>
      <c r="F65" s="84"/>
      <c r="G65" s="195" t="e">
        <f t="shared" si="1"/>
        <v>#DIV/0!</v>
      </c>
      <c r="H65" s="84"/>
      <c r="J65" s="84"/>
      <c r="K65" s="84"/>
      <c r="L65" s="22"/>
      <c r="M65" s="84"/>
      <c r="N65" s="84"/>
      <c r="O65" s="84"/>
      <c r="P65" s="8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</row>
    <row r="66" spans="2:67" s="108" customFormat="1" ht="12.75" customHeight="1" x14ac:dyDescent="0.2">
      <c r="B66" s="156"/>
      <c r="C66" s="21"/>
      <c r="D66" s="161"/>
      <c r="E66" s="84"/>
      <c r="F66" s="84"/>
      <c r="G66" s="84"/>
      <c r="H66" s="84"/>
      <c r="J66" s="84"/>
      <c r="K66" s="84"/>
      <c r="L66" s="22"/>
      <c r="M66" s="84"/>
      <c r="N66" s="84"/>
      <c r="O66" s="84"/>
      <c r="P66" s="8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</row>
    <row r="67" spans="2:67" s="108" customFormat="1" ht="12.75" customHeight="1" x14ac:dyDescent="0.2">
      <c r="B67" s="156"/>
      <c r="C67" s="21"/>
      <c r="D67" s="161"/>
      <c r="E67" s="84"/>
      <c r="F67" s="84"/>
      <c r="G67" s="84"/>
      <c r="H67" s="84"/>
      <c r="J67" s="84"/>
      <c r="K67" s="84"/>
      <c r="L67" s="22"/>
      <c r="M67" s="84"/>
      <c r="N67" s="84"/>
      <c r="O67" s="84"/>
      <c r="P67" s="8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</row>
    <row r="68" spans="2:67" ht="12.75" customHeight="1" x14ac:dyDescent="0.2">
      <c r="B68" s="154" t="s">
        <v>34</v>
      </c>
      <c r="C68" s="8" t="s">
        <v>281</v>
      </c>
      <c r="D68" s="164"/>
      <c r="E68" s="15"/>
      <c r="F68" s="8" t="s">
        <v>229</v>
      </c>
      <c r="G68" s="8"/>
      <c r="H68" s="8"/>
      <c r="I68" s="246" t="s">
        <v>192</v>
      </c>
      <c r="J68" s="246"/>
      <c r="K68" s="246"/>
      <c r="L68" s="246"/>
      <c r="M68" s="246"/>
      <c r="N68" s="246"/>
      <c r="O68" s="24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2:67" ht="24.75" customHeight="1" x14ac:dyDescent="0.2">
      <c r="B69" s="155" t="s">
        <v>35</v>
      </c>
      <c r="C69" s="10" t="s">
        <v>282</v>
      </c>
      <c r="D69" s="158"/>
      <c r="E69" s="11"/>
      <c r="F69" s="11"/>
      <c r="G69" s="11"/>
      <c r="H69" s="11"/>
      <c r="I69" s="11"/>
      <c r="J69" s="11" t="s">
        <v>285</v>
      </c>
      <c r="K69" s="11"/>
      <c r="L69" s="11" t="s">
        <v>286</v>
      </c>
      <c r="M69" s="103"/>
      <c r="N69" s="243" t="s">
        <v>294</v>
      </c>
      <c r="O69" s="24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2:67" ht="12.75" customHeight="1" x14ac:dyDescent="0.2">
      <c r="B70" s="153" t="s">
        <v>36</v>
      </c>
      <c r="C70" s="13" t="s">
        <v>7</v>
      </c>
      <c r="D70" s="159" t="s">
        <v>8</v>
      </c>
      <c r="E70" s="9"/>
      <c r="G70" s="16">
        <f>G12*G18</f>
        <v>0</v>
      </c>
      <c r="H70" s="9"/>
      <c r="J70" s="16"/>
      <c r="K70" s="9"/>
      <c r="M70" s="16">
        <f>G70</f>
        <v>0</v>
      </c>
      <c r="N70" s="104"/>
      <c r="O70" s="83">
        <f>J70+M70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2:67" ht="12.75" customHeight="1" x14ac:dyDescent="0.2">
      <c r="B71" s="153" t="s">
        <v>41</v>
      </c>
      <c r="C71" s="13" t="s">
        <v>5</v>
      </c>
      <c r="D71" s="159" t="s">
        <v>2</v>
      </c>
      <c r="E71" s="9"/>
      <c r="G71" s="17">
        <f>IFERROR(G16/(1+(1/G17)),0)</f>
        <v>0</v>
      </c>
      <c r="H71" s="9"/>
      <c r="J71" s="17"/>
      <c r="K71" s="9"/>
      <c r="M71" s="20" t="b">
        <f>M16</f>
        <v>0</v>
      </c>
      <c r="N71" s="104"/>
      <c r="O71" s="101" t="b">
        <f>M71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2:67" ht="12.75" customHeight="1" x14ac:dyDescent="0.2">
      <c r="B72" s="153" t="s">
        <v>46</v>
      </c>
      <c r="C72" s="13" t="s">
        <v>24</v>
      </c>
      <c r="D72" s="159" t="s">
        <v>8</v>
      </c>
      <c r="E72" s="9"/>
      <c r="G72" s="16" t="e">
        <f>G70/G17</f>
        <v>#DIV/0!</v>
      </c>
      <c r="H72" s="9"/>
      <c r="J72" s="16" t="e">
        <f>G72</f>
        <v>#DIV/0!</v>
      </c>
      <c r="K72" s="9"/>
      <c r="M72" s="9"/>
      <c r="N72" s="104"/>
      <c r="O72" s="83" t="e">
        <f t="shared" ref="O72" si="2">J72+M72</f>
        <v>#DIV/0!</v>
      </c>
      <c r="P72" s="9"/>
      <c r="Q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2:67" ht="12.75" customHeight="1" x14ac:dyDescent="0.2">
      <c r="B73" s="153" t="s">
        <v>47</v>
      </c>
      <c r="C73" s="13" t="s">
        <v>20</v>
      </c>
      <c r="D73" s="159" t="s">
        <v>2</v>
      </c>
      <c r="E73" s="9"/>
      <c r="G73" s="17">
        <f>G16-G71</f>
        <v>0</v>
      </c>
      <c r="H73" s="9"/>
      <c r="J73" s="20" t="b">
        <f>J16</f>
        <v>0</v>
      </c>
      <c r="K73" s="9"/>
      <c r="M73" s="9"/>
      <c r="N73" s="104"/>
      <c r="O73" s="101" t="b">
        <f>J73</f>
        <v>0</v>
      </c>
      <c r="P73" s="9"/>
      <c r="Q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2:67" ht="12.75" customHeight="1" x14ac:dyDescent="0.2">
      <c r="B74" s="153" t="s">
        <v>48</v>
      </c>
      <c r="C74" s="13" t="s">
        <v>291</v>
      </c>
      <c r="D74" s="159" t="s">
        <v>19</v>
      </c>
      <c r="E74" s="9"/>
      <c r="G74" s="197" t="e">
        <f>3.6*(G70+G72)/G16</f>
        <v>#DIV/0!</v>
      </c>
      <c r="H74" s="9"/>
      <c r="J74" s="16"/>
      <c r="K74" s="9"/>
      <c r="M74" s="16"/>
      <c r="N74" s="104"/>
      <c r="O74" s="83" t="e">
        <f>J76+M75</f>
        <v>#DIV/0!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2:67" ht="12.75" customHeight="1" x14ac:dyDescent="0.2">
      <c r="B75" s="153" t="s">
        <v>76</v>
      </c>
      <c r="C75" s="105" t="s">
        <v>292</v>
      </c>
      <c r="D75" s="159" t="s">
        <v>19</v>
      </c>
      <c r="E75" s="9"/>
      <c r="H75" s="9"/>
      <c r="J75" s="16"/>
      <c r="K75" s="9"/>
      <c r="M75" s="16" t="e">
        <f>3.6*M70/M71</f>
        <v>#DIV/0!</v>
      </c>
      <c r="N75" s="10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2:67" ht="12.75" customHeight="1" x14ac:dyDescent="0.2">
      <c r="B76" s="153" t="s">
        <v>77</v>
      </c>
      <c r="C76" s="105" t="s">
        <v>293</v>
      </c>
      <c r="D76" s="159" t="s">
        <v>19</v>
      </c>
      <c r="E76" s="9"/>
      <c r="H76" s="9"/>
      <c r="J76" s="16" t="e">
        <f>3.6*J72/J73</f>
        <v>#DIV/0!</v>
      </c>
      <c r="K76" s="9"/>
      <c r="M76" s="9"/>
      <c r="N76" s="10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2:67" ht="12.75" customHeight="1" x14ac:dyDescent="0.2">
      <c r="B77" s="153" t="s">
        <v>49</v>
      </c>
      <c r="C77" s="13" t="s">
        <v>299</v>
      </c>
      <c r="D77" s="159"/>
      <c r="E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2:67" s="108" customFormat="1" ht="12.75" customHeight="1" x14ac:dyDescent="0.3">
      <c r="B78" s="153" t="s">
        <v>295</v>
      </c>
      <c r="C78" s="180" t="s">
        <v>288</v>
      </c>
      <c r="D78" s="159" t="s">
        <v>300</v>
      </c>
      <c r="E78" s="104"/>
      <c r="G78" s="82" t="e">
        <f>G36*G74</f>
        <v>#DIV/0!</v>
      </c>
      <c r="H78" s="104"/>
      <c r="J78" s="82" t="e">
        <f>J76*G36</f>
        <v>#DIV/0!</v>
      </c>
      <c r="K78" s="82"/>
      <c r="L78" s="196"/>
      <c r="M78" s="82" t="e">
        <f>M75*G36</f>
        <v>#DIV/0!</v>
      </c>
      <c r="N78" s="82"/>
      <c r="O78" s="82" t="e">
        <f t="shared" ref="O78:O81" si="3">J78+M78</f>
        <v>#DIV/0!</v>
      </c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/>
      <c r="BN78"/>
      <c r="BO78"/>
    </row>
    <row r="79" spans="2:67" s="108" customFormat="1" ht="12.75" customHeight="1" x14ac:dyDescent="0.3">
      <c r="B79" s="153" t="s">
        <v>296</v>
      </c>
      <c r="C79" s="180" t="s">
        <v>289</v>
      </c>
      <c r="D79" s="159" t="s">
        <v>301</v>
      </c>
      <c r="E79" s="104"/>
      <c r="G79" s="82" t="e">
        <f>G74*$G37*$G33/10^9</f>
        <v>#DIV/0!</v>
      </c>
      <c r="H79" s="104"/>
      <c r="J79" s="82" t="e">
        <f>J76*$G37*$G33/10^9</f>
        <v>#DIV/0!</v>
      </c>
      <c r="K79" s="82"/>
      <c r="L79" s="196"/>
      <c r="M79" s="82" t="e">
        <f>M75*$G37*$G33/10^9</f>
        <v>#DIV/0!</v>
      </c>
      <c r="N79" s="82"/>
      <c r="O79" s="82" t="e">
        <f t="shared" si="3"/>
        <v>#DIV/0!</v>
      </c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/>
      <c r="BN79"/>
      <c r="BO79"/>
    </row>
    <row r="80" spans="2:67" ht="12.75" customHeight="1" x14ac:dyDescent="0.2">
      <c r="B80" s="153" t="s">
        <v>297</v>
      </c>
      <c r="C80" s="180" t="s">
        <v>28</v>
      </c>
      <c r="D80" s="159" t="s">
        <v>302</v>
      </c>
      <c r="E80" s="9"/>
      <c r="G80" s="82" t="e">
        <f>G74*$G37*$G34/10^9</f>
        <v>#DIV/0!</v>
      </c>
      <c r="H80" s="9"/>
      <c r="J80" s="82" t="e">
        <f>J76*$G37*$G34/10^9</f>
        <v>#DIV/0!</v>
      </c>
      <c r="K80" s="82"/>
      <c r="L80" s="82"/>
      <c r="M80" s="82" t="e">
        <f>M75*$G37*$G34/10^9</f>
        <v>#DIV/0!</v>
      </c>
      <c r="N80" s="82"/>
      <c r="O80" s="82" t="e">
        <f t="shared" si="3"/>
        <v>#DIV/0!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</row>
    <row r="81" spans="2:67" ht="12.75" customHeight="1" x14ac:dyDescent="0.2">
      <c r="B81" s="153" t="s">
        <v>298</v>
      </c>
      <c r="C81" s="180" t="s">
        <v>290</v>
      </c>
      <c r="D81" s="159" t="s">
        <v>303</v>
      </c>
      <c r="E81" s="9"/>
      <c r="F81" s="19"/>
      <c r="G81" s="82" t="e">
        <f>G74*$G37*$G35/10^9</f>
        <v>#DIV/0!</v>
      </c>
      <c r="H81" s="9"/>
      <c r="J81" s="82" t="e">
        <f>J76*$G37*$G35/10^9</f>
        <v>#DIV/0!</v>
      </c>
      <c r="K81" s="82"/>
      <c r="L81" s="82"/>
      <c r="M81" s="82" t="e">
        <f>M75*$G37*$G35/10^9</f>
        <v>#DIV/0!</v>
      </c>
      <c r="N81" s="82"/>
      <c r="O81" s="82" t="e">
        <f t="shared" si="3"/>
        <v>#DIV/0!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</row>
    <row r="82" spans="2:67" s="229" customFormat="1" ht="12.75" customHeight="1" x14ac:dyDescent="0.2">
      <c r="B82" s="216"/>
      <c r="C82" s="180"/>
      <c r="D82" s="233"/>
      <c r="E82" s="219"/>
      <c r="F82" s="230"/>
      <c r="G82" s="230"/>
      <c r="H82" s="219"/>
      <c r="J82" s="230"/>
      <c r="K82" s="230"/>
      <c r="L82" s="230"/>
      <c r="M82" s="230"/>
      <c r="N82" s="230"/>
      <c r="O82" s="230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</row>
    <row r="83" spans="2:67" s="218" customFormat="1" ht="12.75" customHeight="1" x14ac:dyDescent="0.3">
      <c r="B83" s="216" t="s">
        <v>347</v>
      </c>
      <c r="C83" s="105" t="s">
        <v>343</v>
      </c>
      <c r="D83" s="233" t="s">
        <v>346</v>
      </c>
      <c r="E83" s="26"/>
      <c r="F83" s="26"/>
      <c r="G83" s="228" t="e">
        <f>G30*G78</f>
        <v>#DIV/0!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</row>
    <row r="84" spans="2:67" s="218" customFormat="1" ht="12.75" customHeight="1" x14ac:dyDescent="0.2">
      <c r="B84" s="216"/>
      <c r="C84" s="21"/>
      <c r="D84" s="159"/>
    </row>
    <row r="85" spans="2:67" s="218" customFormat="1" ht="12.75" customHeight="1" x14ac:dyDescent="0.2">
      <c r="B85" s="216"/>
      <c r="C85" s="105"/>
      <c r="D85" s="159"/>
      <c r="E85" s="219"/>
      <c r="F85" s="220"/>
      <c r="G85" s="219"/>
      <c r="H85" s="219"/>
      <c r="J85" s="220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</row>
    <row r="86" spans="2:67" ht="12.75" customHeight="1" x14ac:dyDescent="0.2">
      <c r="B86" s="154" t="s">
        <v>37</v>
      </c>
      <c r="C86" s="8" t="s">
        <v>306</v>
      </c>
      <c r="D86" s="111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5"/>
      <c r="Z86" s="15"/>
      <c r="AA86" s="15"/>
      <c r="AB86" s="15"/>
      <c r="AC86" s="15"/>
    </row>
    <row r="87" spans="2:67" ht="12.75" customHeight="1" x14ac:dyDescent="0.2">
      <c r="B87" s="155" t="s">
        <v>38</v>
      </c>
      <c r="C87" s="10" t="s">
        <v>266</v>
      </c>
      <c r="D87" s="158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2:67" ht="12.75" customHeight="1" x14ac:dyDescent="0.2">
      <c r="B88" s="156" t="s">
        <v>39</v>
      </c>
      <c r="C88" s="23" t="s">
        <v>265</v>
      </c>
      <c r="D88" s="165"/>
      <c r="E88" s="26">
        <v>1</v>
      </c>
      <c r="F88" s="26">
        <f t="shared" ref="F88:AC88" si="4">E88+1</f>
        <v>2</v>
      </c>
      <c r="G88" s="26">
        <f t="shared" si="4"/>
        <v>3</v>
      </c>
      <c r="H88" s="26">
        <f t="shared" si="4"/>
        <v>4</v>
      </c>
      <c r="I88" s="26">
        <f t="shared" si="4"/>
        <v>5</v>
      </c>
      <c r="J88" s="26">
        <f t="shared" si="4"/>
        <v>6</v>
      </c>
      <c r="K88" s="26">
        <f t="shared" si="4"/>
        <v>7</v>
      </c>
      <c r="L88" s="26">
        <f t="shared" si="4"/>
        <v>8</v>
      </c>
      <c r="M88" s="26">
        <f t="shared" si="4"/>
        <v>9</v>
      </c>
      <c r="N88" s="26">
        <f t="shared" si="4"/>
        <v>10</v>
      </c>
      <c r="O88" s="26">
        <f t="shared" si="4"/>
        <v>11</v>
      </c>
      <c r="P88" s="26">
        <f t="shared" si="4"/>
        <v>12</v>
      </c>
      <c r="Q88" s="26">
        <f t="shared" si="4"/>
        <v>13</v>
      </c>
      <c r="R88" s="26">
        <f t="shared" si="4"/>
        <v>14</v>
      </c>
      <c r="S88" s="26">
        <f t="shared" si="4"/>
        <v>15</v>
      </c>
      <c r="T88" s="26">
        <f t="shared" si="4"/>
        <v>16</v>
      </c>
      <c r="U88" s="26">
        <f t="shared" si="4"/>
        <v>17</v>
      </c>
      <c r="V88" s="26">
        <f t="shared" si="4"/>
        <v>18</v>
      </c>
      <c r="W88" s="26">
        <f t="shared" si="4"/>
        <v>19</v>
      </c>
      <c r="X88" s="26">
        <f t="shared" si="4"/>
        <v>20</v>
      </c>
      <c r="Y88" s="26">
        <f t="shared" si="4"/>
        <v>21</v>
      </c>
      <c r="Z88" s="26">
        <f t="shared" si="4"/>
        <v>22</v>
      </c>
      <c r="AA88" s="26">
        <f t="shared" si="4"/>
        <v>23</v>
      </c>
      <c r="AB88" s="26">
        <f t="shared" si="4"/>
        <v>24</v>
      </c>
      <c r="AC88" s="26">
        <f t="shared" si="4"/>
        <v>25</v>
      </c>
    </row>
    <row r="89" spans="2:67" s="108" customFormat="1" ht="12.75" customHeight="1" x14ac:dyDescent="0.2">
      <c r="B89" s="156"/>
      <c r="C89" s="23"/>
      <c r="D89" s="16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BM89"/>
      <c r="BN89"/>
      <c r="BO89"/>
    </row>
    <row r="90" spans="2:67" ht="12.75" customHeight="1" x14ac:dyDescent="0.2">
      <c r="B90" s="156" t="s">
        <v>268</v>
      </c>
      <c r="C90" s="21" t="s">
        <v>25</v>
      </c>
      <c r="D90" s="159"/>
    </row>
    <row r="91" spans="2:67" s="108" customFormat="1" ht="12.75" customHeight="1" x14ac:dyDescent="0.2">
      <c r="B91" s="157" t="s">
        <v>175</v>
      </c>
      <c r="C91" s="21" t="s">
        <v>22</v>
      </c>
      <c r="D91" s="159"/>
      <c r="E91" s="83">
        <f>E88-1</f>
        <v>0</v>
      </c>
      <c r="F91" s="83">
        <f t="shared" ref="F91:AC91" si="5">F88-1</f>
        <v>1</v>
      </c>
      <c r="G91" s="83">
        <f t="shared" si="5"/>
        <v>2</v>
      </c>
      <c r="H91" s="83">
        <f t="shared" si="5"/>
        <v>3</v>
      </c>
      <c r="I91" s="83">
        <f t="shared" si="5"/>
        <v>4</v>
      </c>
      <c r="J91" s="83">
        <f t="shared" si="5"/>
        <v>5</v>
      </c>
      <c r="K91" s="83">
        <f t="shared" si="5"/>
        <v>6</v>
      </c>
      <c r="L91" s="83">
        <f t="shared" si="5"/>
        <v>7</v>
      </c>
      <c r="M91" s="83">
        <f t="shared" si="5"/>
        <v>8</v>
      </c>
      <c r="N91" s="83">
        <f t="shared" si="5"/>
        <v>9</v>
      </c>
      <c r="O91" s="83">
        <f t="shared" si="5"/>
        <v>10</v>
      </c>
      <c r="P91" s="83">
        <f t="shared" si="5"/>
        <v>11</v>
      </c>
      <c r="Q91" s="83">
        <f t="shared" si="5"/>
        <v>12</v>
      </c>
      <c r="R91" s="83">
        <f t="shared" si="5"/>
        <v>13</v>
      </c>
      <c r="S91" s="83">
        <f t="shared" si="5"/>
        <v>14</v>
      </c>
      <c r="T91" s="83">
        <f t="shared" si="5"/>
        <v>15</v>
      </c>
      <c r="U91" s="83">
        <f t="shared" si="5"/>
        <v>16</v>
      </c>
      <c r="V91" s="83">
        <f t="shared" si="5"/>
        <v>17</v>
      </c>
      <c r="W91" s="83">
        <f t="shared" si="5"/>
        <v>18</v>
      </c>
      <c r="X91" s="83">
        <f t="shared" si="5"/>
        <v>19</v>
      </c>
      <c r="Y91" s="83">
        <f t="shared" si="5"/>
        <v>20</v>
      </c>
      <c r="Z91" s="83">
        <f t="shared" si="5"/>
        <v>21</v>
      </c>
      <c r="AA91" s="83">
        <f t="shared" si="5"/>
        <v>22</v>
      </c>
      <c r="AB91" s="83">
        <f t="shared" si="5"/>
        <v>23</v>
      </c>
      <c r="AC91" s="83">
        <f t="shared" si="5"/>
        <v>24</v>
      </c>
      <c r="BM91"/>
      <c r="BN91"/>
      <c r="BO91"/>
    </row>
    <row r="92" spans="2:67" s="108" customFormat="1" ht="12.75" customHeight="1" x14ac:dyDescent="0.2">
      <c r="B92" s="157" t="s">
        <v>260</v>
      </c>
      <c r="C92" s="81" t="s">
        <v>25</v>
      </c>
      <c r="D92" s="159"/>
      <c r="E92" s="82">
        <f>1/(1+$G$22)^E91</f>
        <v>1</v>
      </c>
      <c r="F92" s="82">
        <f t="shared" ref="F92:M92" si="6">1/(1+$G$22)^F91</f>
        <v>0.9319153708643001</v>
      </c>
      <c r="G92" s="82">
        <f t="shared" si="6"/>
        <v>0.86846625845314596</v>
      </c>
      <c r="H92" s="82">
        <f t="shared" si="6"/>
        <v>0.80933705532949463</v>
      </c>
      <c r="I92" s="82">
        <f t="shared" si="6"/>
        <v>0.75423364207160637</v>
      </c>
      <c r="J92" s="82">
        <f t="shared" si="6"/>
        <v>0.70288192426949292</v>
      </c>
      <c r="K92" s="82">
        <f t="shared" si="6"/>
        <v>0.65502646912941731</v>
      </c>
      <c r="L92" s="82">
        <f t="shared" si="6"/>
        <v>0.61042923490467393</v>
      </c>
      <c r="M92" s="82">
        <f t="shared" si="6"/>
        <v>0.5688683868326001</v>
      </c>
      <c r="N92" s="82">
        <f>1/(1+$G$22)^N91</f>
        <v>0.53013719368807866</v>
      </c>
      <c r="O92" s="82">
        <f t="shared" ref="O92" si="7">1/(1+$G$22)^O91</f>
        <v>0.49404299946478514</v>
      </c>
      <c r="P92" s="82">
        <f t="shared" ref="P92" si="8">1/(1+$G$22)^P91</f>
        <v>0.46040626506913646</v>
      </c>
      <c r="Q92" s="82">
        <f t="shared" ref="Q92" si="9">1/(1+$G$22)^Q91</f>
        <v>0.42905967526015143</v>
      </c>
      <c r="R92" s="82">
        <f t="shared" ref="R92" si="10">1/(1+$G$22)^R91</f>
        <v>0.39984730639298022</v>
      </c>
      <c r="S92" s="82">
        <f>1/(1+$G$22)^S91</f>
        <v>0.37262385082630556</v>
      </c>
      <c r="T92" s="82">
        <f t="shared" ref="T92" si="11">1/(1+$G$22)^T91</f>
        <v>0.3472538941356802</v>
      </c>
      <c r="U92" s="82">
        <f t="shared" ref="U92" si="12">1/(1+$G$22)^U91</f>
        <v>0.32361124153752474</v>
      </c>
      <c r="V92" s="82">
        <f t="shared" ref="V92" si="13">1/(1+$G$22)^V91</f>
        <v>0.30157829017329896</v>
      </c>
      <c r="W92" s="82">
        <f t="shared" ref="W92" si="14">1/(1+$G$22)^W91</f>
        <v>0.28104544413147142</v>
      </c>
      <c r="X92" s="82">
        <f t="shared" ref="X92" si="15">1/(1+$G$22)^X91</f>
        <v>0.26191056929750212</v>
      </c>
      <c r="Y92" s="82">
        <f t="shared" ref="Y92" si="16">1/(1+$G$22)^Y91</f>
        <v>0.24407848532016158</v>
      </c>
      <c r="Z92" s="82">
        <f t="shared" ref="Z92" si="17">1/(1+$G$22)^Z91</f>
        <v>0.22746049216713504</v>
      </c>
      <c r="AA92" s="82">
        <f t="shared" ref="AA92" si="18">1/(1+$G$22)^AA91</f>
        <v>0.21197392891491185</v>
      </c>
      <c r="AB92" s="82">
        <f>1/(1+$G$22)^AB91</f>
        <v>0.19754176257830289</v>
      </c>
      <c r="AC92" s="82">
        <f t="shared" ref="AC92" si="19">1/(1+$G$22)^AC91</f>
        <v>0.18409220493434661</v>
      </c>
      <c r="BM92"/>
      <c r="BN92"/>
      <c r="BO92"/>
    </row>
    <row r="93" spans="2:67" s="108" customFormat="1" ht="12.75" customHeight="1" x14ac:dyDescent="0.2">
      <c r="B93" s="156"/>
      <c r="C93" s="21"/>
      <c r="D93" s="159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BM93"/>
      <c r="BN93"/>
      <c r="BO93"/>
    </row>
    <row r="94" spans="2:67" ht="12.75" customHeight="1" x14ac:dyDescent="0.2">
      <c r="B94" s="155" t="s">
        <v>310</v>
      </c>
      <c r="C94" s="102" t="s">
        <v>273</v>
      </c>
      <c r="D94" s="15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</row>
    <row r="95" spans="2:67" s="108" customFormat="1" ht="12.75" customHeight="1" x14ac:dyDescent="0.2">
      <c r="B95" s="157" t="s">
        <v>312</v>
      </c>
      <c r="C95" s="81" t="s">
        <v>7</v>
      </c>
      <c r="D95" s="159" t="s">
        <v>309</v>
      </c>
      <c r="E95" s="82">
        <f>$G$12*$G$18/10^6</f>
        <v>0</v>
      </c>
      <c r="F95" s="82">
        <f t="shared" ref="F95:AC95" si="20">$G$12*$G$18/10^6</f>
        <v>0</v>
      </c>
      <c r="G95" s="82">
        <f t="shared" si="20"/>
        <v>0</v>
      </c>
      <c r="H95" s="82">
        <f t="shared" si="20"/>
        <v>0</v>
      </c>
      <c r="I95" s="82">
        <f t="shared" si="20"/>
        <v>0</v>
      </c>
      <c r="J95" s="82">
        <f t="shared" si="20"/>
        <v>0</v>
      </c>
      <c r="K95" s="82">
        <f t="shared" si="20"/>
        <v>0</v>
      </c>
      <c r="L95" s="82">
        <f t="shared" si="20"/>
        <v>0</v>
      </c>
      <c r="M95" s="82">
        <f t="shared" si="20"/>
        <v>0</v>
      </c>
      <c r="N95" s="82">
        <f t="shared" si="20"/>
        <v>0</v>
      </c>
      <c r="O95" s="82">
        <f t="shared" si="20"/>
        <v>0</v>
      </c>
      <c r="P95" s="82">
        <f t="shared" si="20"/>
        <v>0</v>
      </c>
      <c r="Q95" s="82">
        <f t="shared" si="20"/>
        <v>0</v>
      </c>
      <c r="R95" s="82">
        <f t="shared" si="20"/>
        <v>0</v>
      </c>
      <c r="S95" s="82">
        <f t="shared" si="20"/>
        <v>0</v>
      </c>
      <c r="T95" s="82">
        <f t="shared" si="20"/>
        <v>0</v>
      </c>
      <c r="U95" s="82">
        <f t="shared" si="20"/>
        <v>0</v>
      </c>
      <c r="V95" s="82">
        <f t="shared" si="20"/>
        <v>0</v>
      </c>
      <c r="W95" s="82">
        <f t="shared" si="20"/>
        <v>0</v>
      </c>
      <c r="X95" s="82">
        <f t="shared" si="20"/>
        <v>0</v>
      </c>
      <c r="Y95" s="82">
        <f t="shared" si="20"/>
        <v>0</v>
      </c>
      <c r="Z95" s="82">
        <f t="shared" si="20"/>
        <v>0</v>
      </c>
      <c r="AA95" s="82">
        <f t="shared" si="20"/>
        <v>0</v>
      </c>
      <c r="AB95" s="82">
        <f t="shared" si="20"/>
        <v>0</v>
      </c>
      <c r="AC95" s="82">
        <f t="shared" si="20"/>
        <v>0</v>
      </c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</row>
    <row r="96" spans="2:67" s="108" customFormat="1" ht="12.75" customHeight="1" x14ac:dyDescent="0.2">
      <c r="B96" s="157" t="s">
        <v>313</v>
      </c>
      <c r="C96" s="81" t="s">
        <v>24</v>
      </c>
      <c r="D96" s="159" t="s">
        <v>309</v>
      </c>
      <c r="E96" s="82" t="e">
        <f>($G$12/$G$17)*$G$18/10^6</f>
        <v>#DIV/0!</v>
      </c>
      <c r="F96" s="82" t="e">
        <f t="shared" ref="F96:AC96" si="21">($G$12/$G$17)*$G$18/10^6</f>
        <v>#DIV/0!</v>
      </c>
      <c r="G96" s="82" t="e">
        <f t="shared" si="21"/>
        <v>#DIV/0!</v>
      </c>
      <c r="H96" s="82" t="e">
        <f t="shared" si="21"/>
        <v>#DIV/0!</v>
      </c>
      <c r="I96" s="82" t="e">
        <f t="shared" si="21"/>
        <v>#DIV/0!</v>
      </c>
      <c r="J96" s="82" t="e">
        <f t="shared" si="21"/>
        <v>#DIV/0!</v>
      </c>
      <c r="K96" s="82" t="e">
        <f t="shared" si="21"/>
        <v>#DIV/0!</v>
      </c>
      <c r="L96" s="82" t="e">
        <f t="shared" si="21"/>
        <v>#DIV/0!</v>
      </c>
      <c r="M96" s="82" t="e">
        <f t="shared" si="21"/>
        <v>#DIV/0!</v>
      </c>
      <c r="N96" s="82" t="e">
        <f t="shared" si="21"/>
        <v>#DIV/0!</v>
      </c>
      <c r="O96" s="82" t="e">
        <f t="shared" si="21"/>
        <v>#DIV/0!</v>
      </c>
      <c r="P96" s="82" t="e">
        <f t="shared" si="21"/>
        <v>#DIV/0!</v>
      </c>
      <c r="Q96" s="82" t="e">
        <f t="shared" si="21"/>
        <v>#DIV/0!</v>
      </c>
      <c r="R96" s="82" t="e">
        <f t="shared" si="21"/>
        <v>#DIV/0!</v>
      </c>
      <c r="S96" s="82" t="e">
        <f t="shared" si="21"/>
        <v>#DIV/0!</v>
      </c>
      <c r="T96" s="82" t="e">
        <f t="shared" si="21"/>
        <v>#DIV/0!</v>
      </c>
      <c r="U96" s="82" t="e">
        <f t="shared" si="21"/>
        <v>#DIV/0!</v>
      </c>
      <c r="V96" s="82" t="e">
        <f t="shared" si="21"/>
        <v>#DIV/0!</v>
      </c>
      <c r="W96" s="82" t="e">
        <f t="shared" si="21"/>
        <v>#DIV/0!</v>
      </c>
      <c r="X96" s="82" t="e">
        <f t="shared" si="21"/>
        <v>#DIV/0!</v>
      </c>
      <c r="Y96" s="82" t="e">
        <f t="shared" si="21"/>
        <v>#DIV/0!</v>
      </c>
      <c r="Z96" s="82" t="e">
        <f t="shared" si="21"/>
        <v>#DIV/0!</v>
      </c>
      <c r="AA96" s="82" t="e">
        <f t="shared" si="21"/>
        <v>#DIV/0!</v>
      </c>
      <c r="AB96" s="82" t="e">
        <f t="shared" si="21"/>
        <v>#DIV/0!</v>
      </c>
      <c r="AC96" s="82" t="e">
        <f t="shared" si="21"/>
        <v>#DIV/0!</v>
      </c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</row>
    <row r="97" spans="2:67" s="108" customFormat="1" ht="12.75" customHeight="1" x14ac:dyDescent="0.2">
      <c r="B97" s="157" t="s">
        <v>314</v>
      </c>
      <c r="C97" s="81" t="s">
        <v>269</v>
      </c>
      <c r="D97" s="162" t="s">
        <v>308</v>
      </c>
      <c r="E97" s="82">
        <f>E95*$G$27</f>
        <v>0</v>
      </c>
      <c r="F97" s="82">
        <f t="shared" ref="F97:AC97" si="22">F95*$G27</f>
        <v>0</v>
      </c>
      <c r="G97" s="82">
        <f t="shared" si="22"/>
        <v>0</v>
      </c>
      <c r="H97" s="82">
        <f t="shared" si="22"/>
        <v>0</v>
      </c>
      <c r="I97" s="82">
        <f t="shared" si="22"/>
        <v>0</v>
      </c>
      <c r="J97" s="82">
        <f t="shared" si="22"/>
        <v>0</v>
      </c>
      <c r="K97" s="82">
        <f t="shared" si="22"/>
        <v>0</v>
      </c>
      <c r="L97" s="82">
        <f t="shared" si="22"/>
        <v>0</v>
      </c>
      <c r="M97" s="82">
        <f t="shared" si="22"/>
        <v>0</v>
      </c>
      <c r="N97" s="82">
        <f t="shared" si="22"/>
        <v>0</v>
      </c>
      <c r="O97" s="82">
        <f t="shared" si="22"/>
        <v>0</v>
      </c>
      <c r="P97" s="82">
        <f t="shared" si="22"/>
        <v>0</v>
      </c>
      <c r="Q97" s="82">
        <f t="shared" si="22"/>
        <v>0</v>
      </c>
      <c r="R97" s="82">
        <f t="shared" si="22"/>
        <v>0</v>
      </c>
      <c r="S97" s="82">
        <f t="shared" si="22"/>
        <v>0</v>
      </c>
      <c r="T97" s="82">
        <f t="shared" si="22"/>
        <v>0</v>
      </c>
      <c r="U97" s="82">
        <f t="shared" si="22"/>
        <v>0</v>
      </c>
      <c r="V97" s="82">
        <f t="shared" si="22"/>
        <v>0</v>
      </c>
      <c r="W97" s="82">
        <f t="shared" si="22"/>
        <v>0</v>
      </c>
      <c r="X97" s="82">
        <f t="shared" si="22"/>
        <v>0</v>
      </c>
      <c r="Y97" s="82">
        <f t="shared" si="22"/>
        <v>0</v>
      </c>
      <c r="Z97" s="82">
        <f t="shared" si="22"/>
        <v>0</v>
      </c>
      <c r="AA97" s="82">
        <f t="shared" si="22"/>
        <v>0</v>
      </c>
      <c r="AB97" s="82">
        <f t="shared" si="22"/>
        <v>0</v>
      </c>
      <c r="AC97" s="82">
        <f t="shared" si="22"/>
        <v>0</v>
      </c>
      <c r="BM97"/>
      <c r="BN97"/>
      <c r="BO97"/>
    </row>
    <row r="98" spans="2:67" s="108" customFormat="1" ht="12.75" customHeight="1" x14ac:dyDescent="0.2">
      <c r="B98" s="157" t="s">
        <v>315</v>
      </c>
      <c r="C98" s="81" t="s">
        <v>270</v>
      </c>
      <c r="D98" s="162" t="s">
        <v>308</v>
      </c>
      <c r="E98" s="82" t="e">
        <f t="shared" ref="E98:AC98" si="23">3.6*E96*$G28</f>
        <v>#DIV/0!</v>
      </c>
      <c r="F98" s="82" t="e">
        <f t="shared" si="23"/>
        <v>#DIV/0!</v>
      </c>
      <c r="G98" s="82" t="e">
        <f t="shared" si="23"/>
        <v>#DIV/0!</v>
      </c>
      <c r="H98" s="82" t="e">
        <f t="shared" si="23"/>
        <v>#DIV/0!</v>
      </c>
      <c r="I98" s="82" t="e">
        <f t="shared" si="23"/>
        <v>#DIV/0!</v>
      </c>
      <c r="J98" s="82" t="e">
        <f t="shared" si="23"/>
        <v>#DIV/0!</v>
      </c>
      <c r="K98" s="82" t="e">
        <f t="shared" si="23"/>
        <v>#DIV/0!</v>
      </c>
      <c r="L98" s="82" t="e">
        <f t="shared" si="23"/>
        <v>#DIV/0!</v>
      </c>
      <c r="M98" s="82" t="e">
        <f t="shared" si="23"/>
        <v>#DIV/0!</v>
      </c>
      <c r="N98" s="82" t="e">
        <f t="shared" si="23"/>
        <v>#DIV/0!</v>
      </c>
      <c r="O98" s="82" t="e">
        <f t="shared" si="23"/>
        <v>#DIV/0!</v>
      </c>
      <c r="P98" s="82" t="e">
        <f t="shared" si="23"/>
        <v>#DIV/0!</v>
      </c>
      <c r="Q98" s="82" t="e">
        <f t="shared" si="23"/>
        <v>#DIV/0!</v>
      </c>
      <c r="R98" s="82" t="e">
        <f t="shared" si="23"/>
        <v>#DIV/0!</v>
      </c>
      <c r="S98" s="82" t="e">
        <f t="shared" si="23"/>
        <v>#DIV/0!</v>
      </c>
      <c r="T98" s="82" t="e">
        <f t="shared" si="23"/>
        <v>#DIV/0!</v>
      </c>
      <c r="U98" s="82" t="e">
        <f t="shared" si="23"/>
        <v>#DIV/0!</v>
      </c>
      <c r="V98" s="82" t="e">
        <f t="shared" si="23"/>
        <v>#DIV/0!</v>
      </c>
      <c r="W98" s="82" t="e">
        <f t="shared" si="23"/>
        <v>#DIV/0!</v>
      </c>
      <c r="X98" s="82" t="e">
        <f t="shared" si="23"/>
        <v>#DIV/0!</v>
      </c>
      <c r="Y98" s="82" t="e">
        <f t="shared" si="23"/>
        <v>#DIV/0!</v>
      </c>
      <c r="Z98" s="82" t="e">
        <f t="shared" si="23"/>
        <v>#DIV/0!</v>
      </c>
      <c r="AA98" s="82" t="e">
        <f t="shared" si="23"/>
        <v>#DIV/0!</v>
      </c>
      <c r="AB98" s="82" t="e">
        <f t="shared" si="23"/>
        <v>#DIV/0!</v>
      </c>
      <c r="AC98" s="82" t="e">
        <f t="shared" si="23"/>
        <v>#DIV/0!</v>
      </c>
      <c r="BM98"/>
      <c r="BN98"/>
      <c r="BO98"/>
    </row>
    <row r="99" spans="2:67" s="108" customFormat="1" ht="12.75" customHeight="1" x14ac:dyDescent="0.2">
      <c r="B99" s="157" t="s">
        <v>316</v>
      </c>
      <c r="C99" s="81" t="s">
        <v>274</v>
      </c>
      <c r="D99" s="162" t="s">
        <v>308</v>
      </c>
      <c r="E99" s="82" t="e">
        <f>E97+E98</f>
        <v>#DIV/0!</v>
      </c>
      <c r="F99" s="82" t="e">
        <f t="shared" ref="F99:AC99" si="24">F97+F98</f>
        <v>#DIV/0!</v>
      </c>
      <c r="G99" s="82" t="e">
        <f t="shared" si="24"/>
        <v>#DIV/0!</v>
      </c>
      <c r="H99" s="82" t="e">
        <f t="shared" si="24"/>
        <v>#DIV/0!</v>
      </c>
      <c r="I99" s="82" t="e">
        <f t="shared" si="24"/>
        <v>#DIV/0!</v>
      </c>
      <c r="J99" s="82" t="e">
        <f t="shared" si="24"/>
        <v>#DIV/0!</v>
      </c>
      <c r="K99" s="82" t="e">
        <f t="shared" si="24"/>
        <v>#DIV/0!</v>
      </c>
      <c r="L99" s="82" t="e">
        <f t="shared" si="24"/>
        <v>#DIV/0!</v>
      </c>
      <c r="M99" s="82" t="e">
        <f t="shared" si="24"/>
        <v>#DIV/0!</v>
      </c>
      <c r="N99" s="82" t="e">
        <f t="shared" si="24"/>
        <v>#DIV/0!</v>
      </c>
      <c r="O99" s="82" t="e">
        <f t="shared" si="24"/>
        <v>#DIV/0!</v>
      </c>
      <c r="P99" s="82" t="e">
        <f t="shared" si="24"/>
        <v>#DIV/0!</v>
      </c>
      <c r="Q99" s="82" t="e">
        <f t="shared" si="24"/>
        <v>#DIV/0!</v>
      </c>
      <c r="R99" s="82" t="e">
        <f t="shared" si="24"/>
        <v>#DIV/0!</v>
      </c>
      <c r="S99" s="82" t="e">
        <f t="shared" si="24"/>
        <v>#DIV/0!</v>
      </c>
      <c r="T99" s="82" t="e">
        <f t="shared" si="24"/>
        <v>#DIV/0!</v>
      </c>
      <c r="U99" s="82" t="e">
        <f t="shared" si="24"/>
        <v>#DIV/0!</v>
      </c>
      <c r="V99" s="82" t="e">
        <f t="shared" si="24"/>
        <v>#DIV/0!</v>
      </c>
      <c r="W99" s="82" t="e">
        <f t="shared" si="24"/>
        <v>#DIV/0!</v>
      </c>
      <c r="X99" s="82" t="e">
        <f t="shared" si="24"/>
        <v>#DIV/0!</v>
      </c>
      <c r="Y99" s="82" t="e">
        <f t="shared" si="24"/>
        <v>#DIV/0!</v>
      </c>
      <c r="Z99" s="82" t="e">
        <f t="shared" si="24"/>
        <v>#DIV/0!</v>
      </c>
      <c r="AA99" s="82" t="e">
        <f t="shared" si="24"/>
        <v>#DIV/0!</v>
      </c>
      <c r="AB99" s="82" t="e">
        <f t="shared" si="24"/>
        <v>#DIV/0!</v>
      </c>
      <c r="AC99" s="82" t="e">
        <f t="shared" si="24"/>
        <v>#DIV/0!</v>
      </c>
      <c r="BM99"/>
      <c r="BN99"/>
      <c r="BO99"/>
    </row>
    <row r="100" spans="2:67" s="108" customFormat="1" ht="12.75" customHeight="1" x14ac:dyDescent="0.2">
      <c r="B100" s="157"/>
      <c r="C100" s="81"/>
      <c r="D100" s="159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BM100"/>
      <c r="BN100"/>
      <c r="BO100"/>
    </row>
    <row r="101" spans="2:67" ht="12.75" customHeight="1" x14ac:dyDescent="0.2">
      <c r="B101" s="157" t="s">
        <v>317</v>
      </c>
      <c r="C101" s="24" t="s">
        <v>271</v>
      </c>
      <c r="D101" s="162" t="s">
        <v>308</v>
      </c>
      <c r="E101" s="19" t="e">
        <f t="shared" ref="E101:AC101" si="25">$G29*3.6*((E95+E96)/$G$16)</f>
        <v>#DIV/0!</v>
      </c>
      <c r="F101" s="220" t="e">
        <f t="shared" si="25"/>
        <v>#DIV/0!</v>
      </c>
      <c r="G101" s="220" t="e">
        <f t="shared" si="25"/>
        <v>#DIV/0!</v>
      </c>
      <c r="H101" s="220" t="e">
        <f t="shared" si="25"/>
        <v>#DIV/0!</v>
      </c>
      <c r="I101" s="220" t="e">
        <f t="shared" si="25"/>
        <v>#DIV/0!</v>
      </c>
      <c r="J101" s="220" t="e">
        <f t="shared" si="25"/>
        <v>#DIV/0!</v>
      </c>
      <c r="K101" s="220" t="e">
        <f t="shared" si="25"/>
        <v>#DIV/0!</v>
      </c>
      <c r="L101" s="220" t="e">
        <f t="shared" si="25"/>
        <v>#DIV/0!</v>
      </c>
      <c r="M101" s="220" t="e">
        <f t="shared" si="25"/>
        <v>#DIV/0!</v>
      </c>
      <c r="N101" s="220" t="e">
        <f t="shared" si="25"/>
        <v>#DIV/0!</v>
      </c>
      <c r="O101" s="220" t="e">
        <f t="shared" si="25"/>
        <v>#DIV/0!</v>
      </c>
      <c r="P101" s="220" t="e">
        <f t="shared" si="25"/>
        <v>#DIV/0!</v>
      </c>
      <c r="Q101" s="220" t="e">
        <f t="shared" si="25"/>
        <v>#DIV/0!</v>
      </c>
      <c r="R101" s="220" t="e">
        <f t="shared" si="25"/>
        <v>#DIV/0!</v>
      </c>
      <c r="S101" s="220" t="e">
        <f t="shared" si="25"/>
        <v>#DIV/0!</v>
      </c>
      <c r="T101" s="220" t="e">
        <f t="shared" si="25"/>
        <v>#DIV/0!</v>
      </c>
      <c r="U101" s="220" t="e">
        <f t="shared" si="25"/>
        <v>#DIV/0!</v>
      </c>
      <c r="V101" s="220" t="e">
        <f t="shared" si="25"/>
        <v>#DIV/0!</v>
      </c>
      <c r="W101" s="220" t="e">
        <f t="shared" si="25"/>
        <v>#DIV/0!</v>
      </c>
      <c r="X101" s="220" t="e">
        <f t="shared" si="25"/>
        <v>#DIV/0!</v>
      </c>
      <c r="Y101" s="220" t="e">
        <f t="shared" si="25"/>
        <v>#DIV/0!</v>
      </c>
      <c r="Z101" s="220" t="e">
        <f t="shared" si="25"/>
        <v>#DIV/0!</v>
      </c>
      <c r="AA101" s="220" t="e">
        <f t="shared" si="25"/>
        <v>#DIV/0!</v>
      </c>
      <c r="AB101" s="220" t="e">
        <f t="shared" si="25"/>
        <v>#DIV/0!</v>
      </c>
      <c r="AC101" s="220" t="e">
        <f t="shared" si="25"/>
        <v>#DIV/0!</v>
      </c>
    </row>
    <row r="102" spans="2:67" s="229" customFormat="1" ht="12.75" customHeight="1" x14ac:dyDescent="0.3">
      <c r="B102" s="232" t="s">
        <v>318</v>
      </c>
      <c r="C102" s="231" t="s">
        <v>344</v>
      </c>
      <c r="D102" s="234" t="s">
        <v>308</v>
      </c>
      <c r="E102" s="230" t="e">
        <f>$G$83/10^6</f>
        <v>#DIV/0!</v>
      </c>
      <c r="F102" s="230" t="e">
        <f t="shared" ref="F102:AC102" si="26">$G$83/10^6</f>
        <v>#DIV/0!</v>
      </c>
      <c r="G102" s="230" t="e">
        <f t="shared" si="26"/>
        <v>#DIV/0!</v>
      </c>
      <c r="H102" s="230" t="e">
        <f t="shared" si="26"/>
        <v>#DIV/0!</v>
      </c>
      <c r="I102" s="230" t="e">
        <f t="shared" si="26"/>
        <v>#DIV/0!</v>
      </c>
      <c r="J102" s="230" t="e">
        <f t="shared" si="26"/>
        <v>#DIV/0!</v>
      </c>
      <c r="K102" s="230" t="e">
        <f t="shared" si="26"/>
        <v>#DIV/0!</v>
      </c>
      <c r="L102" s="230" t="e">
        <f t="shared" si="26"/>
        <v>#DIV/0!</v>
      </c>
      <c r="M102" s="230" t="e">
        <f t="shared" si="26"/>
        <v>#DIV/0!</v>
      </c>
      <c r="N102" s="230" t="e">
        <f t="shared" si="26"/>
        <v>#DIV/0!</v>
      </c>
      <c r="O102" s="230" t="e">
        <f t="shared" si="26"/>
        <v>#DIV/0!</v>
      </c>
      <c r="P102" s="230" t="e">
        <f t="shared" si="26"/>
        <v>#DIV/0!</v>
      </c>
      <c r="Q102" s="230" t="e">
        <f t="shared" si="26"/>
        <v>#DIV/0!</v>
      </c>
      <c r="R102" s="230" t="e">
        <f t="shared" si="26"/>
        <v>#DIV/0!</v>
      </c>
      <c r="S102" s="230" t="e">
        <f t="shared" si="26"/>
        <v>#DIV/0!</v>
      </c>
      <c r="T102" s="230" t="e">
        <f t="shared" si="26"/>
        <v>#DIV/0!</v>
      </c>
      <c r="U102" s="230" t="e">
        <f t="shared" si="26"/>
        <v>#DIV/0!</v>
      </c>
      <c r="V102" s="230" t="e">
        <f t="shared" si="26"/>
        <v>#DIV/0!</v>
      </c>
      <c r="W102" s="230" t="e">
        <f t="shared" si="26"/>
        <v>#DIV/0!</v>
      </c>
      <c r="X102" s="230" t="e">
        <f t="shared" si="26"/>
        <v>#DIV/0!</v>
      </c>
      <c r="Y102" s="230" t="e">
        <f t="shared" si="26"/>
        <v>#DIV/0!</v>
      </c>
      <c r="Z102" s="230" t="e">
        <f t="shared" si="26"/>
        <v>#DIV/0!</v>
      </c>
      <c r="AA102" s="230" t="e">
        <f t="shared" si="26"/>
        <v>#DIV/0!</v>
      </c>
      <c r="AB102" s="230" t="e">
        <f t="shared" si="26"/>
        <v>#DIV/0!</v>
      </c>
      <c r="AC102" s="230" t="e">
        <f t="shared" si="26"/>
        <v>#DIV/0!</v>
      </c>
    </row>
    <row r="103" spans="2:67" s="108" customFormat="1" ht="12.75" customHeight="1" x14ac:dyDescent="0.2">
      <c r="B103" s="232" t="s">
        <v>319</v>
      </c>
      <c r="C103" s="81" t="s">
        <v>43</v>
      </c>
      <c r="D103" s="162" t="s">
        <v>308</v>
      </c>
      <c r="E103" s="82">
        <f t="shared" ref="E103:AC103" si="27">$G24*E95</f>
        <v>0</v>
      </c>
      <c r="F103" s="82">
        <f t="shared" si="27"/>
        <v>0</v>
      </c>
      <c r="G103" s="82">
        <f t="shared" si="27"/>
        <v>0</v>
      </c>
      <c r="H103" s="82">
        <f t="shared" si="27"/>
        <v>0</v>
      </c>
      <c r="I103" s="82">
        <f t="shared" si="27"/>
        <v>0</v>
      </c>
      <c r="J103" s="82">
        <f t="shared" si="27"/>
        <v>0</v>
      </c>
      <c r="K103" s="82">
        <f t="shared" si="27"/>
        <v>0</v>
      </c>
      <c r="L103" s="82">
        <f t="shared" si="27"/>
        <v>0</v>
      </c>
      <c r="M103" s="82">
        <f t="shared" si="27"/>
        <v>0</v>
      </c>
      <c r="N103" s="82">
        <f t="shared" si="27"/>
        <v>0</v>
      </c>
      <c r="O103" s="82">
        <f t="shared" si="27"/>
        <v>0</v>
      </c>
      <c r="P103" s="82">
        <f t="shared" si="27"/>
        <v>0</v>
      </c>
      <c r="Q103" s="82">
        <f t="shared" si="27"/>
        <v>0</v>
      </c>
      <c r="R103" s="82">
        <f t="shared" si="27"/>
        <v>0</v>
      </c>
      <c r="S103" s="82">
        <f t="shared" si="27"/>
        <v>0</v>
      </c>
      <c r="T103" s="82">
        <f t="shared" si="27"/>
        <v>0</v>
      </c>
      <c r="U103" s="82">
        <f t="shared" si="27"/>
        <v>0</v>
      </c>
      <c r="V103" s="82">
        <f t="shared" si="27"/>
        <v>0</v>
      </c>
      <c r="W103" s="82">
        <f t="shared" si="27"/>
        <v>0</v>
      </c>
      <c r="X103" s="82">
        <f t="shared" si="27"/>
        <v>0</v>
      </c>
      <c r="Y103" s="82">
        <f t="shared" si="27"/>
        <v>0</v>
      </c>
      <c r="Z103" s="82">
        <f t="shared" si="27"/>
        <v>0</v>
      </c>
      <c r="AA103" s="82">
        <f t="shared" si="27"/>
        <v>0</v>
      </c>
      <c r="AB103" s="82">
        <f t="shared" si="27"/>
        <v>0</v>
      </c>
      <c r="AC103" s="82">
        <f t="shared" si="27"/>
        <v>0</v>
      </c>
      <c r="BM103"/>
      <c r="BN103"/>
      <c r="BO103"/>
    </row>
    <row r="104" spans="2:67" ht="12.75" customHeight="1" x14ac:dyDescent="0.2">
      <c r="B104" s="232" t="s">
        <v>320</v>
      </c>
      <c r="C104" s="24" t="s">
        <v>42</v>
      </c>
      <c r="D104" s="162" t="s">
        <v>308</v>
      </c>
      <c r="E104" s="19">
        <f t="shared" ref="E104:AC104" si="28">$G12*$G23/10^3</f>
        <v>0</v>
      </c>
      <c r="F104" s="82">
        <f t="shared" si="28"/>
        <v>0</v>
      </c>
      <c r="G104" s="82">
        <f t="shared" si="28"/>
        <v>0</v>
      </c>
      <c r="H104" s="82">
        <f t="shared" si="28"/>
        <v>0</v>
      </c>
      <c r="I104" s="82">
        <f t="shared" si="28"/>
        <v>0</v>
      </c>
      <c r="J104" s="82">
        <f t="shared" si="28"/>
        <v>0</v>
      </c>
      <c r="K104" s="82">
        <f t="shared" si="28"/>
        <v>0</v>
      </c>
      <c r="L104" s="82">
        <f t="shared" si="28"/>
        <v>0</v>
      </c>
      <c r="M104" s="82">
        <f t="shared" si="28"/>
        <v>0</v>
      </c>
      <c r="N104" s="82">
        <f t="shared" si="28"/>
        <v>0</v>
      </c>
      <c r="O104" s="82">
        <f t="shared" si="28"/>
        <v>0</v>
      </c>
      <c r="P104" s="82">
        <f t="shared" si="28"/>
        <v>0</v>
      </c>
      <c r="Q104" s="82">
        <f t="shared" si="28"/>
        <v>0</v>
      </c>
      <c r="R104" s="82">
        <f t="shared" si="28"/>
        <v>0</v>
      </c>
      <c r="S104" s="82">
        <f t="shared" si="28"/>
        <v>0</v>
      </c>
      <c r="T104" s="82">
        <f t="shared" si="28"/>
        <v>0</v>
      </c>
      <c r="U104" s="82">
        <f t="shared" si="28"/>
        <v>0</v>
      </c>
      <c r="V104" s="82">
        <f t="shared" si="28"/>
        <v>0</v>
      </c>
      <c r="W104" s="82">
        <f t="shared" si="28"/>
        <v>0</v>
      </c>
      <c r="X104" s="82">
        <f t="shared" si="28"/>
        <v>0</v>
      </c>
      <c r="Y104" s="82">
        <f t="shared" si="28"/>
        <v>0</v>
      </c>
      <c r="Z104" s="82">
        <f t="shared" si="28"/>
        <v>0</v>
      </c>
      <c r="AA104" s="82">
        <f t="shared" si="28"/>
        <v>0</v>
      </c>
      <c r="AB104" s="82">
        <f t="shared" si="28"/>
        <v>0</v>
      </c>
      <c r="AC104" s="82">
        <f t="shared" si="28"/>
        <v>0</v>
      </c>
    </row>
    <row r="105" spans="2:67" s="76" customFormat="1" ht="12.75" customHeight="1" x14ac:dyDescent="0.2">
      <c r="B105" s="232" t="s">
        <v>321</v>
      </c>
      <c r="C105" s="78" t="s">
        <v>275</v>
      </c>
      <c r="D105" s="162" t="s">
        <v>308</v>
      </c>
      <c r="E105" s="77" t="e">
        <f>SUM(E101:E104)</f>
        <v>#DIV/0!</v>
      </c>
      <c r="F105" s="230" t="e">
        <f t="shared" ref="F105:AC105" si="29">SUM(F101:F104)</f>
        <v>#DIV/0!</v>
      </c>
      <c r="G105" s="230" t="e">
        <f t="shared" si="29"/>
        <v>#DIV/0!</v>
      </c>
      <c r="H105" s="230" t="e">
        <f t="shared" si="29"/>
        <v>#DIV/0!</v>
      </c>
      <c r="I105" s="230" t="e">
        <f t="shared" si="29"/>
        <v>#DIV/0!</v>
      </c>
      <c r="J105" s="230" t="e">
        <f t="shared" si="29"/>
        <v>#DIV/0!</v>
      </c>
      <c r="K105" s="230" t="e">
        <f t="shared" si="29"/>
        <v>#DIV/0!</v>
      </c>
      <c r="L105" s="230" t="e">
        <f t="shared" si="29"/>
        <v>#DIV/0!</v>
      </c>
      <c r="M105" s="230" t="e">
        <f t="shared" si="29"/>
        <v>#DIV/0!</v>
      </c>
      <c r="N105" s="230" t="e">
        <f t="shared" si="29"/>
        <v>#DIV/0!</v>
      </c>
      <c r="O105" s="230" t="e">
        <f t="shared" si="29"/>
        <v>#DIV/0!</v>
      </c>
      <c r="P105" s="230" t="e">
        <f t="shared" si="29"/>
        <v>#DIV/0!</v>
      </c>
      <c r="Q105" s="230" t="e">
        <f t="shared" si="29"/>
        <v>#DIV/0!</v>
      </c>
      <c r="R105" s="230" t="e">
        <f t="shared" si="29"/>
        <v>#DIV/0!</v>
      </c>
      <c r="S105" s="230" t="e">
        <f t="shared" si="29"/>
        <v>#DIV/0!</v>
      </c>
      <c r="T105" s="230" t="e">
        <f t="shared" si="29"/>
        <v>#DIV/0!</v>
      </c>
      <c r="U105" s="230" t="e">
        <f t="shared" si="29"/>
        <v>#DIV/0!</v>
      </c>
      <c r="V105" s="230" t="e">
        <f t="shared" si="29"/>
        <v>#DIV/0!</v>
      </c>
      <c r="W105" s="230" t="e">
        <f t="shared" si="29"/>
        <v>#DIV/0!</v>
      </c>
      <c r="X105" s="230" t="e">
        <f t="shared" si="29"/>
        <v>#DIV/0!</v>
      </c>
      <c r="Y105" s="230" t="e">
        <f t="shared" si="29"/>
        <v>#DIV/0!</v>
      </c>
      <c r="Z105" s="230" t="e">
        <f t="shared" si="29"/>
        <v>#DIV/0!</v>
      </c>
      <c r="AA105" s="230" t="e">
        <f t="shared" si="29"/>
        <v>#DIV/0!</v>
      </c>
      <c r="AB105" s="230" t="e">
        <f t="shared" si="29"/>
        <v>#DIV/0!</v>
      </c>
      <c r="AC105" s="230" t="e">
        <f t="shared" si="29"/>
        <v>#DIV/0!</v>
      </c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</row>
    <row r="106" spans="2:67" s="108" customFormat="1" ht="12.75" customHeight="1" x14ac:dyDescent="0.2">
      <c r="B106" s="157"/>
      <c r="C106" s="81"/>
      <c r="D106" s="16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BM106"/>
      <c r="BN106"/>
      <c r="BO106"/>
    </row>
    <row r="107" spans="2:67" ht="12.75" customHeight="1" x14ac:dyDescent="0.2">
      <c r="B107" s="157" t="s">
        <v>345</v>
      </c>
      <c r="C107" s="25" t="s">
        <v>280</v>
      </c>
      <c r="D107" s="162" t="s">
        <v>308</v>
      </c>
      <c r="E107" s="82" t="e">
        <f>E99-E105</f>
        <v>#DIV/0!</v>
      </c>
      <c r="F107" s="82" t="e">
        <f t="shared" ref="F107:AC107" si="30">F99-F105</f>
        <v>#DIV/0!</v>
      </c>
      <c r="G107" s="82" t="e">
        <f t="shared" si="30"/>
        <v>#DIV/0!</v>
      </c>
      <c r="H107" s="82" t="e">
        <f t="shared" si="30"/>
        <v>#DIV/0!</v>
      </c>
      <c r="I107" s="82" t="e">
        <f t="shared" si="30"/>
        <v>#DIV/0!</v>
      </c>
      <c r="J107" s="82" t="e">
        <f t="shared" si="30"/>
        <v>#DIV/0!</v>
      </c>
      <c r="K107" s="82" t="e">
        <f t="shared" si="30"/>
        <v>#DIV/0!</v>
      </c>
      <c r="L107" s="82" t="e">
        <f t="shared" si="30"/>
        <v>#DIV/0!</v>
      </c>
      <c r="M107" s="82" t="e">
        <f t="shared" si="30"/>
        <v>#DIV/0!</v>
      </c>
      <c r="N107" s="82" t="e">
        <f t="shared" si="30"/>
        <v>#DIV/0!</v>
      </c>
      <c r="O107" s="82" t="e">
        <f t="shared" si="30"/>
        <v>#DIV/0!</v>
      </c>
      <c r="P107" s="82" t="e">
        <f t="shared" si="30"/>
        <v>#DIV/0!</v>
      </c>
      <c r="Q107" s="82" t="e">
        <f t="shared" si="30"/>
        <v>#DIV/0!</v>
      </c>
      <c r="R107" s="82" t="e">
        <f t="shared" si="30"/>
        <v>#DIV/0!</v>
      </c>
      <c r="S107" s="82" t="e">
        <f t="shared" si="30"/>
        <v>#DIV/0!</v>
      </c>
      <c r="T107" s="82" t="e">
        <f t="shared" si="30"/>
        <v>#DIV/0!</v>
      </c>
      <c r="U107" s="82" t="e">
        <f t="shared" si="30"/>
        <v>#DIV/0!</v>
      </c>
      <c r="V107" s="82" t="e">
        <f t="shared" si="30"/>
        <v>#DIV/0!</v>
      </c>
      <c r="W107" s="82" t="e">
        <f t="shared" si="30"/>
        <v>#DIV/0!</v>
      </c>
      <c r="X107" s="82" t="e">
        <f t="shared" si="30"/>
        <v>#DIV/0!</v>
      </c>
      <c r="Y107" s="82" t="e">
        <f t="shared" si="30"/>
        <v>#DIV/0!</v>
      </c>
      <c r="Z107" s="82" t="e">
        <f t="shared" si="30"/>
        <v>#DIV/0!</v>
      </c>
      <c r="AA107" s="82" t="e">
        <f t="shared" si="30"/>
        <v>#DIV/0!</v>
      </c>
      <c r="AB107" s="82" t="e">
        <f t="shared" si="30"/>
        <v>#DIV/0!</v>
      </c>
      <c r="AC107" s="82" t="e">
        <f t="shared" si="30"/>
        <v>#DIV/0!</v>
      </c>
    </row>
    <row r="108" spans="2:67" s="108" customFormat="1" ht="12.75" customHeight="1" x14ac:dyDescent="0.2">
      <c r="B108" s="157"/>
      <c r="C108" s="25"/>
      <c r="D108" s="16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BM108"/>
      <c r="BN108"/>
      <c r="BO108"/>
    </row>
    <row r="109" spans="2:67" s="108" customFormat="1" ht="12.75" customHeight="1" x14ac:dyDescent="0.2">
      <c r="B109" s="155" t="s">
        <v>311</v>
      </c>
      <c r="C109" s="102" t="s">
        <v>272</v>
      </c>
      <c r="D109" s="158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</row>
    <row r="110" spans="2:67" s="108" customFormat="1" ht="12.75" customHeight="1" x14ac:dyDescent="0.2">
      <c r="B110" s="157" t="s">
        <v>322</v>
      </c>
      <c r="C110" s="81" t="s">
        <v>267</v>
      </c>
      <c r="D110" s="162" t="s">
        <v>308</v>
      </c>
      <c r="E110" s="82">
        <f>G12*G21</f>
        <v>0</v>
      </c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BM110"/>
      <c r="BN110"/>
      <c r="BO110"/>
    </row>
    <row r="111" spans="2:67" s="79" customFormat="1" ht="12.75" customHeight="1" x14ac:dyDescent="0.2">
      <c r="B111" s="157" t="s">
        <v>323</v>
      </c>
      <c r="C111" s="81" t="s">
        <v>276</v>
      </c>
      <c r="D111" s="162" t="s">
        <v>308</v>
      </c>
      <c r="E111" s="82" t="e">
        <f>E99*E92</f>
        <v>#DIV/0!</v>
      </c>
      <c r="F111" s="82" t="e">
        <f>F99*F92</f>
        <v>#DIV/0!</v>
      </c>
      <c r="G111" s="82" t="e">
        <f t="shared" ref="G111:AC111" si="31">G99*G92</f>
        <v>#DIV/0!</v>
      </c>
      <c r="H111" s="82" t="e">
        <f t="shared" si="31"/>
        <v>#DIV/0!</v>
      </c>
      <c r="I111" s="82" t="e">
        <f t="shared" si="31"/>
        <v>#DIV/0!</v>
      </c>
      <c r="J111" s="82" t="e">
        <f t="shared" si="31"/>
        <v>#DIV/0!</v>
      </c>
      <c r="K111" s="82" t="e">
        <f t="shared" si="31"/>
        <v>#DIV/0!</v>
      </c>
      <c r="L111" s="82" t="e">
        <f t="shared" si="31"/>
        <v>#DIV/0!</v>
      </c>
      <c r="M111" s="82" t="e">
        <f t="shared" si="31"/>
        <v>#DIV/0!</v>
      </c>
      <c r="N111" s="82" t="e">
        <f t="shared" si="31"/>
        <v>#DIV/0!</v>
      </c>
      <c r="O111" s="82" t="e">
        <f t="shared" si="31"/>
        <v>#DIV/0!</v>
      </c>
      <c r="P111" s="82" t="e">
        <f t="shared" si="31"/>
        <v>#DIV/0!</v>
      </c>
      <c r="Q111" s="82" t="e">
        <f t="shared" si="31"/>
        <v>#DIV/0!</v>
      </c>
      <c r="R111" s="82" t="e">
        <f t="shared" si="31"/>
        <v>#DIV/0!</v>
      </c>
      <c r="S111" s="82" t="e">
        <f t="shared" si="31"/>
        <v>#DIV/0!</v>
      </c>
      <c r="T111" s="82" t="e">
        <f t="shared" si="31"/>
        <v>#DIV/0!</v>
      </c>
      <c r="U111" s="82" t="e">
        <f t="shared" si="31"/>
        <v>#DIV/0!</v>
      </c>
      <c r="V111" s="82" t="e">
        <f t="shared" si="31"/>
        <v>#DIV/0!</v>
      </c>
      <c r="W111" s="82" t="e">
        <f t="shared" si="31"/>
        <v>#DIV/0!</v>
      </c>
      <c r="X111" s="82" t="e">
        <f t="shared" si="31"/>
        <v>#DIV/0!</v>
      </c>
      <c r="Y111" s="82" t="e">
        <f t="shared" si="31"/>
        <v>#DIV/0!</v>
      </c>
      <c r="Z111" s="82" t="e">
        <f t="shared" si="31"/>
        <v>#DIV/0!</v>
      </c>
      <c r="AA111" s="82" t="e">
        <f t="shared" si="31"/>
        <v>#DIV/0!</v>
      </c>
      <c r="AB111" s="82" t="e">
        <f t="shared" si="31"/>
        <v>#DIV/0!</v>
      </c>
      <c r="AC111" s="82" t="e">
        <f t="shared" si="31"/>
        <v>#DIV/0!</v>
      </c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</row>
    <row r="112" spans="2:67" ht="12.75" customHeight="1" x14ac:dyDescent="0.2">
      <c r="B112" s="157" t="s">
        <v>324</v>
      </c>
      <c r="C112" s="81" t="s">
        <v>277</v>
      </c>
      <c r="D112" s="162" t="s">
        <v>308</v>
      </c>
      <c r="E112" s="82" t="e">
        <f>E105*E92</f>
        <v>#DIV/0!</v>
      </c>
      <c r="F112" s="82" t="e">
        <f t="shared" ref="F112:AC112" si="32">F105*F92</f>
        <v>#DIV/0!</v>
      </c>
      <c r="G112" s="82" t="e">
        <f t="shared" si="32"/>
        <v>#DIV/0!</v>
      </c>
      <c r="H112" s="82" t="e">
        <f t="shared" si="32"/>
        <v>#DIV/0!</v>
      </c>
      <c r="I112" s="82" t="e">
        <f t="shared" si="32"/>
        <v>#DIV/0!</v>
      </c>
      <c r="J112" s="82" t="e">
        <f t="shared" si="32"/>
        <v>#DIV/0!</v>
      </c>
      <c r="K112" s="82" t="e">
        <f t="shared" si="32"/>
        <v>#DIV/0!</v>
      </c>
      <c r="L112" s="82" t="e">
        <f t="shared" si="32"/>
        <v>#DIV/0!</v>
      </c>
      <c r="M112" s="82" t="e">
        <f t="shared" si="32"/>
        <v>#DIV/0!</v>
      </c>
      <c r="N112" s="82" t="e">
        <f t="shared" si="32"/>
        <v>#DIV/0!</v>
      </c>
      <c r="O112" s="82" t="e">
        <f t="shared" si="32"/>
        <v>#DIV/0!</v>
      </c>
      <c r="P112" s="82" t="e">
        <f t="shared" si="32"/>
        <v>#DIV/0!</v>
      </c>
      <c r="Q112" s="82" t="e">
        <f t="shared" si="32"/>
        <v>#DIV/0!</v>
      </c>
      <c r="R112" s="82" t="e">
        <f t="shared" si="32"/>
        <v>#DIV/0!</v>
      </c>
      <c r="S112" s="82" t="e">
        <f t="shared" si="32"/>
        <v>#DIV/0!</v>
      </c>
      <c r="T112" s="82" t="e">
        <f t="shared" si="32"/>
        <v>#DIV/0!</v>
      </c>
      <c r="U112" s="82" t="e">
        <f t="shared" si="32"/>
        <v>#DIV/0!</v>
      </c>
      <c r="V112" s="82" t="e">
        <f t="shared" si="32"/>
        <v>#DIV/0!</v>
      </c>
      <c r="W112" s="82" t="e">
        <f t="shared" si="32"/>
        <v>#DIV/0!</v>
      </c>
      <c r="X112" s="82" t="e">
        <f t="shared" si="32"/>
        <v>#DIV/0!</v>
      </c>
      <c r="Y112" s="82" t="e">
        <f t="shared" si="32"/>
        <v>#DIV/0!</v>
      </c>
      <c r="Z112" s="82" t="e">
        <f t="shared" si="32"/>
        <v>#DIV/0!</v>
      </c>
      <c r="AA112" s="82" t="e">
        <f t="shared" si="32"/>
        <v>#DIV/0!</v>
      </c>
      <c r="AB112" s="82" t="e">
        <f t="shared" si="32"/>
        <v>#DIV/0!</v>
      </c>
      <c r="AC112" s="82" t="e">
        <f t="shared" si="32"/>
        <v>#DIV/0!</v>
      </c>
    </row>
    <row r="113" spans="2:66" ht="12.75" customHeight="1" x14ac:dyDescent="0.2">
      <c r="B113" s="157" t="s">
        <v>325</v>
      </c>
      <c r="C113" s="81" t="s">
        <v>278</v>
      </c>
      <c r="D113" s="162" t="s">
        <v>308</v>
      </c>
      <c r="E113" s="82" t="e">
        <f>E111-E112</f>
        <v>#DIV/0!</v>
      </c>
      <c r="F113" s="82" t="e">
        <f t="shared" ref="F113:AC113" si="33">F111-F112</f>
        <v>#DIV/0!</v>
      </c>
      <c r="G113" s="82" t="e">
        <f t="shared" si="33"/>
        <v>#DIV/0!</v>
      </c>
      <c r="H113" s="82" t="e">
        <f t="shared" si="33"/>
        <v>#DIV/0!</v>
      </c>
      <c r="I113" s="82" t="e">
        <f t="shared" si="33"/>
        <v>#DIV/0!</v>
      </c>
      <c r="J113" s="82" t="e">
        <f t="shared" si="33"/>
        <v>#DIV/0!</v>
      </c>
      <c r="K113" s="82" t="e">
        <f t="shared" si="33"/>
        <v>#DIV/0!</v>
      </c>
      <c r="L113" s="82" t="e">
        <f t="shared" si="33"/>
        <v>#DIV/0!</v>
      </c>
      <c r="M113" s="82" t="e">
        <f t="shared" si="33"/>
        <v>#DIV/0!</v>
      </c>
      <c r="N113" s="82" t="e">
        <f t="shared" si="33"/>
        <v>#DIV/0!</v>
      </c>
      <c r="O113" s="82" t="e">
        <f t="shared" si="33"/>
        <v>#DIV/0!</v>
      </c>
      <c r="P113" s="82" t="e">
        <f t="shared" si="33"/>
        <v>#DIV/0!</v>
      </c>
      <c r="Q113" s="82" t="e">
        <f t="shared" si="33"/>
        <v>#DIV/0!</v>
      </c>
      <c r="R113" s="82" t="e">
        <f t="shared" si="33"/>
        <v>#DIV/0!</v>
      </c>
      <c r="S113" s="82" t="e">
        <f t="shared" si="33"/>
        <v>#DIV/0!</v>
      </c>
      <c r="T113" s="82" t="e">
        <f t="shared" si="33"/>
        <v>#DIV/0!</v>
      </c>
      <c r="U113" s="82" t="e">
        <f t="shared" si="33"/>
        <v>#DIV/0!</v>
      </c>
      <c r="V113" s="82" t="e">
        <f t="shared" si="33"/>
        <v>#DIV/0!</v>
      </c>
      <c r="W113" s="82" t="e">
        <f t="shared" si="33"/>
        <v>#DIV/0!</v>
      </c>
      <c r="X113" s="82" t="e">
        <f t="shared" si="33"/>
        <v>#DIV/0!</v>
      </c>
      <c r="Y113" s="82" t="e">
        <f t="shared" si="33"/>
        <v>#DIV/0!</v>
      </c>
      <c r="Z113" s="82" t="e">
        <f t="shared" si="33"/>
        <v>#DIV/0!</v>
      </c>
      <c r="AA113" s="82" t="e">
        <f t="shared" si="33"/>
        <v>#DIV/0!</v>
      </c>
      <c r="AB113" s="82" t="e">
        <f t="shared" si="33"/>
        <v>#DIV/0!</v>
      </c>
      <c r="AC113" s="82" t="e">
        <f t="shared" si="33"/>
        <v>#DIV/0!</v>
      </c>
    </row>
    <row r="114" spans="2:66" ht="25.5" x14ac:dyDescent="0.2">
      <c r="B114" s="198" t="s">
        <v>326</v>
      </c>
      <c r="C114" s="199" t="s">
        <v>307</v>
      </c>
      <c r="D114" s="200" t="s">
        <v>308</v>
      </c>
      <c r="E114" s="201" t="e">
        <f>SUM(E113:AC113)-E110</f>
        <v>#DIV/0!</v>
      </c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</row>
    <row r="115" spans="2:66" x14ac:dyDescent="0.2">
      <c r="B115" s="153"/>
      <c r="C115" s="18"/>
      <c r="D115" s="159"/>
      <c r="E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2:66" x14ac:dyDescent="0.2">
      <c r="B116" s="216" t="s">
        <v>148</v>
      </c>
      <c r="C116" s="18"/>
      <c r="D116" s="159"/>
      <c r="E116" s="16"/>
      <c r="F116" s="16"/>
      <c r="G116" s="16"/>
      <c r="H116" s="16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2:66" x14ac:dyDescent="0.2">
      <c r="B117" s="217" t="s">
        <v>338</v>
      </c>
      <c r="D117"/>
    </row>
    <row r="118" spans="2:66" x14ac:dyDescent="0.2">
      <c r="B118" s="12"/>
      <c r="C118" s="12"/>
      <c r="D118" s="159"/>
      <c r="E118" s="19"/>
      <c r="F118" s="1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BM118" s="9"/>
      <c r="BN118" s="82"/>
    </row>
    <row r="119" spans="2:66" x14ac:dyDescent="0.2">
      <c r="C119" s="3"/>
      <c r="D119" s="160"/>
      <c r="BM119" s="9"/>
      <c r="BN119" s="9"/>
    </row>
    <row r="120" spans="2:66" x14ac:dyDescent="0.2">
      <c r="B120" s="12"/>
      <c r="C120" s="9"/>
      <c r="D120" s="15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</row>
    <row r="121" spans="2:66" outlineLevel="1" x14ac:dyDescent="0.2">
      <c r="B121" s="12"/>
      <c r="C121" s="9"/>
      <c r="D121" s="159"/>
      <c r="E121" s="9"/>
      <c r="F121" s="9"/>
      <c r="G121" s="9"/>
      <c r="H121" s="9"/>
      <c r="I121" s="9"/>
      <c r="J121" s="9"/>
      <c r="K121" s="9"/>
      <c r="L121" s="9"/>
      <c r="M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</row>
    <row r="122" spans="2:66" outlineLevel="1" x14ac:dyDescent="0.2">
      <c r="D122" s="160"/>
      <c r="BM122" s="2"/>
      <c r="BN122" s="2"/>
    </row>
    <row r="123" spans="2:66" outlineLevel="1" x14ac:dyDescent="0.2">
      <c r="B123" s="40" t="s">
        <v>115</v>
      </c>
      <c r="C123" s="40" t="s">
        <v>113</v>
      </c>
      <c r="D123" s="166"/>
      <c r="E123" s="40"/>
      <c r="F123" s="42"/>
      <c r="G123" s="43" t="s">
        <v>26</v>
      </c>
      <c r="H123" s="43" t="s">
        <v>28</v>
      </c>
      <c r="I123" s="43" t="s">
        <v>27</v>
      </c>
      <c r="J123" s="44"/>
      <c r="L123" s="40"/>
      <c r="M123" s="41" t="s">
        <v>122</v>
      </c>
      <c r="O123" s="108"/>
      <c r="P123" s="108"/>
      <c r="Q123" s="108"/>
      <c r="R123" s="108"/>
      <c r="S123" s="108"/>
      <c r="T123" s="108"/>
      <c r="BM123" s="9"/>
      <c r="BN123" s="9"/>
    </row>
    <row r="124" spans="2:66" outlineLevel="1" x14ac:dyDescent="0.2">
      <c r="B124" s="12">
        <v>11</v>
      </c>
      <c r="C124" s="9" t="s">
        <v>87</v>
      </c>
      <c r="D124" s="159" t="s">
        <v>125</v>
      </c>
      <c r="E124" s="9"/>
      <c r="F124" s="30"/>
      <c r="G124" s="109">
        <f>'Dane referencyjne'!E23</f>
        <v>12</v>
      </c>
      <c r="H124" s="109">
        <f>'Dane referencyjne'!G23</f>
        <v>50</v>
      </c>
      <c r="I124" s="109">
        <f>'Dane referencyjne'!I23</f>
        <v>5</v>
      </c>
      <c r="J124" s="9"/>
      <c r="L124" s="9" t="s">
        <v>123</v>
      </c>
      <c r="M124" s="9">
        <f>IF(F10=C124,1,IF(F10=C129,2,))</f>
        <v>0</v>
      </c>
      <c r="T124" s="107"/>
      <c r="AD124" s="9"/>
      <c r="AE124" s="9"/>
      <c r="AF124" s="9"/>
      <c r="AG124" s="9"/>
      <c r="AH124" s="9"/>
      <c r="AI124" s="9"/>
      <c r="BM124" s="9"/>
      <c r="BN124" s="9"/>
    </row>
    <row r="125" spans="2:66" outlineLevel="1" x14ac:dyDescent="0.2">
      <c r="B125" s="1">
        <v>12</v>
      </c>
      <c r="C125" s="104" t="s">
        <v>87</v>
      </c>
      <c r="D125" s="159" t="s">
        <v>119</v>
      </c>
      <c r="G125" s="109">
        <f>'Dane referencyjne'!E24</f>
        <v>12</v>
      </c>
      <c r="H125" s="109">
        <f>'Dane referencyjne'!G24</f>
        <v>50</v>
      </c>
      <c r="I125" s="109">
        <f>'Dane referencyjne'!I24</f>
        <v>5</v>
      </c>
      <c r="L125" s="40" t="s">
        <v>111</v>
      </c>
      <c r="M125" s="40" t="e">
        <f>IF(G13&lt;50,1,IF(G13&lt;100,2,IF(G13&lt;300,3,4)))</f>
        <v>#DIV/0!</v>
      </c>
      <c r="T125" s="106"/>
      <c r="BM125" s="9"/>
      <c r="BN125" s="9"/>
    </row>
    <row r="126" spans="2:66" outlineLevel="1" x14ac:dyDescent="0.2">
      <c r="B126" s="1">
        <v>13</v>
      </c>
      <c r="C126" s="104" t="s">
        <v>87</v>
      </c>
      <c r="D126" s="159" t="s">
        <v>120</v>
      </c>
      <c r="G126" s="109">
        <f>'Dane referencyjne'!E25</f>
        <v>12</v>
      </c>
      <c r="H126" s="109">
        <f>'Dane referencyjne'!G25</f>
        <v>50</v>
      </c>
      <c r="I126" s="109">
        <f>'Dane referencyjne'!I25</f>
        <v>5</v>
      </c>
      <c r="L126" t="s">
        <v>124</v>
      </c>
      <c r="M126" t="e">
        <f>M124*10+M125*1</f>
        <v>#DIV/0!</v>
      </c>
      <c r="O126" s="108"/>
      <c r="T126" s="107"/>
    </row>
    <row r="127" spans="2:66" outlineLevel="1" x14ac:dyDescent="0.2">
      <c r="B127" s="1">
        <v>14</v>
      </c>
      <c r="C127" s="104" t="s">
        <v>87</v>
      </c>
      <c r="D127" s="159" t="s">
        <v>121</v>
      </c>
      <c r="G127" s="109">
        <f>'Dane referencyjne'!E26</f>
        <v>12</v>
      </c>
      <c r="H127" s="109">
        <f>'Dane referencyjne'!G26</f>
        <v>50</v>
      </c>
      <c r="I127" s="109">
        <f>'Dane referencyjne'!I26</f>
        <v>5</v>
      </c>
      <c r="O127" s="108"/>
      <c r="T127" s="106"/>
    </row>
    <row r="128" spans="2:66" outlineLevel="1" x14ac:dyDescent="0.2">
      <c r="B128" s="12">
        <v>22</v>
      </c>
      <c r="C128" s="9" t="s">
        <v>114</v>
      </c>
      <c r="D128" s="159" t="s">
        <v>125</v>
      </c>
      <c r="E128" s="9"/>
      <c r="F128" s="30"/>
      <c r="G128" s="109">
        <f>'Dane referencyjne'!E29</f>
        <v>1300</v>
      </c>
      <c r="H128" s="109">
        <f>'Dane referencyjne'!G29</f>
        <v>400</v>
      </c>
      <c r="I128" s="109">
        <f>'Dane referencyjne'!I29</f>
        <v>100</v>
      </c>
      <c r="J128" s="9"/>
    </row>
    <row r="129" spans="2:10" outlineLevel="1" x14ac:dyDescent="0.2">
      <c r="B129" s="12">
        <v>23</v>
      </c>
      <c r="C129" s="9" t="s">
        <v>114</v>
      </c>
      <c r="D129" s="159" t="s">
        <v>119</v>
      </c>
      <c r="E129" s="9"/>
      <c r="F129" s="30"/>
      <c r="G129" s="109">
        <f>'Dane referencyjne'!E30</f>
        <v>400</v>
      </c>
      <c r="H129" s="109">
        <f>'Dane referencyjne'!G30</f>
        <v>300</v>
      </c>
      <c r="I129" s="109">
        <f>'Dane referencyjne'!I30</f>
        <v>20</v>
      </c>
      <c r="J129" s="9"/>
    </row>
    <row r="130" spans="2:10" outlineLevel="1" x14ac:dyDescent="0.2">
      <c r="B130" s="12">
        <v>24</v>
      </c>
      <c r="C130" s="9" t="s">
        <v>114</v>
      </c>
      <c r="D130" s="159" t="s">
        <v>120</v>
      </c>
      <c r="E130" s="9"/>
      <c r="F130" s="30"/>
      <c r="G130" s="109">
        <f>'Dane referencyjne'!E31</f>
        <v>200</v>
      </c>
      <c r="H130" s="109">
        <f>'Dane referencyjne'!G31</f>
        <v>200</v>
      </c>
      <c r="I130" s="109">
        <f>'Dane referencyjne'!I31</f>
        <v>20</v>
      </c>
      <c r="J130" s="9"/>
    </row>
    <row r="131" spans="2:10" outlineLevel="1" x14ac:dyDescent="0.2">
      <c r="B131" s="12">
        <v>25</v>
      </c>
      <c r="C131" s="9" t="s">
        <v>114</v>
      </c>
      <c r="D131" s="159" t="s">
        <v>121</v>
      </c>
      <c r="E131" s="9"/>
      <c r="F131" s="30"/>
      <c r="G131" s="109">
        <f>'Dane referencyjne'!E32</f>
        <v>150</v>
      </c>
      <c r="H131" s="109">
        <f>'Dane referencyjne'!G32</f>
        <v>150</v>
      </c>
      <c r="I131" s="109">
        <f>'Dane referencyjne'!I32</f>
        <v>10</v>
      </c>
      <c r="J131" s="9"/>
    </row>
    <row r="132" spans="2:10" outlineLevel="1" x14ac:dyDescent="0.2"/>
    <row r="133" spans="2:10" outlineLevel="1" x14ac:dyDescent="0.2"/>
    <row r="134" spans="2:10" outlineLevel="1" x14ac:dyDescent="0.2"/>
  </sheetData>
  <customSheetViews>
    <customSheetView guid="{C75A5F74-EB46-4EC1-8574-01D849F3C8D4}" scale="70" showGridLines="0" topLeftCell="A118">
      <selection activeCell="F150" sqref="F150"/>
    </customSheetView>
    <customSheetView guid="{60DF9BBC-D692-423C-89AD-8A976478AE41}" scale="70" showGridLines="0" topLeftCell="A118">
      <selection activeCell="F150" sqref="F150"/>
      <pageMargins left="0.7" right="0.7" top="0.75" bottom="0.75" header="0.3" footer="0.3"/>
      <pageSetup paperSize="9" orientation="portrait" r:id="rId1"/>
    </customSheetView>
  </customSheetViews>
  <mergeCells count="9">
    <mergeCell ref="I7:M7"/>
    <mergeCell ref="I39:M39"/>
    <mergeCell ref="N69:O69"/>
    <mergeCell ref="I9:J9"/>
    <mergeCell ref="L9:M9"/>
    <mergeCell ref="F9:G9"/>
    <mergeCell ref="F10:G10"/>
    <mergeCell ref="I68:O68"/>
    <mergeCell ref="I47:M47"/>
  </mergeCells>
  <pageMargins left="0.7" right="0.7" top="0.75" bottom="0.75" header="0.3" footer="0.3"/>
  <pageSetup paperSize="9" orientation="portrait" r:id="rId2"/>
  <ignoredErrors>
    <ignoredError sqref="O73 O7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2:P32"/>
  <sheetViews>
    <sheetView showGridLines="0" zoomScale="80" zoomScaleNormal="80" workbookViewId="0">
      <selection activeCell="K4" sqref="K4"/>
    </sheetView>
  </sheetViews>
  <sheetFormatPr defaultRowHeight="12.75" x14ac:dyDescent="0.2"/>
  <cols>
    <col min="1" max="1" width="2.85546875" style="9" customWidth="1"/>
    <col min="2" max="2" width="9.140625" style="9"/>
    <col min="3" max="3" width="27.7109375" style="9" customWidth="1"/>
    <col min="4" max="21" width="12.7109375" style="9" customWidth="1"/>
    <col min="22" max="16384" width="9.140625" style="9"/>
  </cols>
  <sheetData>
    <row r="2" spans="2:15" x14ac:dyDescent="0.2">
      <c r="B2" s="2" t="s">
        <v>199</v>
      </c>
    </row>
    <row r="3" spans="2:15" ht="48.75" customHeight="1" x14ac:dyDescent="0.2">
      <c r="B3" s="28"/>
      <c r="C3" s="247" t="s">
        <v>202</v>
      </c>
      <c r="D3" s="248" t="s">
        <v>109</v>
      </c>
      <c r="E3" s="248"/>
      <c r="F3" s="247" t="s">
        <v>3</v>
      </c>
      <c r="G3" s="247"/>
      <c r="H3" s="247" t="s">
        <v>351</v>
      </c>
      <c r="I3" s="247"/>
      <c r="J3" s="247" t="s">
        <v>187</v>
      </c>
      <c r="K3" s="247"/>
      <c r="L3" s="247" t="s">
        <v>112</v>
      </c>
      <c r="M3" s="247"/>
      <c r="N3" s="247" t="s">
        <v>110</v>
      </c>
      <c r="O3" s="247"/>
    </row>
    <row r="4" spans="2:15" ht="30" customHeight="1" x14ac:dyDescent="0.2">
      <c r="B4" s="7"/>
      <c r="C4" s="247"/>
      <c r="D4" s="100" t="s">
        <v>107</v>
      </c>
      <c r="E4" s="100" t="s">
        <v>108</v>
      </c>
      <c r="F4" s="100" t="s">
        <v>107</v>
      </c>
      <c r="G4" s="100" t="s">
        <v>108</v>
      </c>
      <c r="H4" s="178" t="s">
        <v>107</v>
      </c>
      <c r="I4" s="178" t="s">
        <v>108</v>
      </c>
      <c r="J4" s="178" t="s">
        <v>107</v>
      </c>
      <c r="K4" s="178" t="s">
        <v>108</v>
      </c>
      <c r="L4" s="178" t="s">
        <v>107</v>
      </c>
      <c r="M4" s="178" t="s">
        <v>108</v>
      </c>
      <c r="N4" s="178" t="s">
        <v>107</v>
      </c>
      <c r="O4" s="178" t="s">
        <v>108</v>
      </c>
    </row>
    <row r="5" spans="2:15" x14ac:dyDescent="0.2">
      <c r="B5" s="10">
        <v>1</v>
      </c>
      <c r="C5" s="69" t="s">
        <v>96</v>
      </c>
      <c r="D5" s="29"/>
      <c r="E5" s="29"/>
      <c r="F5" s="29"/>
      <c r="G5" s="29"/>
      <c r="H5" s="177"/>
      <c r="I5" s="103"/>
      <c r="J5" s="103"/>
      <c r="K5" s="103"/>
      <c r="L5" s="103"/>
      <c r="M5" s="103"/>
      <c r="N5" s="103"/>
      <c r="O5" s="103"/>
    </row>
    <row r="6" spans="2:15" x14ac:dyDescent="0.2">
      <c r="B6" s="12" t="s">
        <v>99</v>
      </c>
      <c r="C6" s="71" t="s">
        <v>179</v>
      </c>
      <c r="D6" s="185">
        <v>0.8</v>
      </c>
      <c r="E6" s="185" t="s">
        <v>81</v>
      </c>
      <c r="F6" s="186">
        <v>0.6</v>
      </c>
      <c r="G6" s="187" t="s">
        <v>81</v>
      </c>
      <c r="H6" s="188">
        <v>3000</v>
      </c>
      <c r="I6" s="187">
        <v>8000</v>
      </c>
      <c r="J6" s="188">
        <v>0</v>
      </c>
      <c r="K6" s="189">
        <v>9</v>
      </c>
      <c r="L6" s="188">
        <v>0</v>
      </c>
      <c r="M6" s="188">
        <v>400</v>
      </c>
      <c r="N6" s="188">
        <v>0</v>
      </c>
      <c r="O6" s="187">
        <v>15</v>
      </c>
    </row>
    <row r="7" spans="2:15" x14ac:dyDescent="0.2">
      <c r="B7" s="12" t="s">
        <v>100</v>
      </c>
      <c r="C7" s="71" t="s">
        <v>180</v>
      </c>
      <c r="D7" s="185">
        <v>0.8</v>
      </c>
      <c r="E7" s="185" t="s">
        <v>81</v>
      </c>
      <c r="F7" s="186">
        <v>0.6</v>
      </c>
      <c r="G7" s="187" t="s">
        <v>81</v>
      </c>
      <c r="H7" s="188">
        <v>3000</v>
      </c>
      <c r="I7" s="187">
        <v>8000</v>
      </c>
      <c r="J7" s="188">
        <v>0</v>
      </c>
      <c r="K7" s="189">
        <v>7.5</v>
      </c>
      <c r="L7" s="188">
        <v>0</v>
      </c>
      <c r="M7" s="188">
        <v>350</v>
      </c>
      <c r="N7" s="188">
        <v>0</v>
      </c>
      <c r="O7" s="187">
        <v>10</v>
      </c>
    </row>
    <row r="8" spans="2:15" x14ac:dyDescent="0.2">
      <c r="B8" s="12" t="s">
        <v>101</v>
      </c>
      <c r="C8" s="71" t="s">
        <v>181</v>
      </c>
      <c r="D8" s="185">
        <v>0.8</v>
      </c>
      <c r="E8" s="185" t="s">
        <v>81</v>
      </c>
      <c r="F8" s="186">
        <v>0.6</v>
      </c>
      <c r="G8" s="187" t="s">
        <v>81</v>
      </c>
      <c r="H8" s="188">
        <v>3000</v>
      </c>
      <c r="I8" s="187">
        <v>8000</v>
      </c>
      <c r="J8" s="188">
        <v>0</v>
      </c>
      <c r="K8" s="189">
        <v>6.5</v>
      </c>
      <c r="L8" s="188">
        <v>0</v>
      </c>
      <c r="M8" s="188">
        <v>250</v>
      </c>
      <c r="N8" s="188">
        <v>0</v>
      </c>
      <c r="O8" s="187">
        <v>10</v>
      </c>
    </row>
    <row r="9" spans="2:15" x14ac:dyDescent="0.2">
      <c r="B9" s="12" t="s">
        <v>102</v>
      </c>
      <c r="C9" s="71" t="s">
        <v>97</v>
      </c>
      <c r="D9" s="185">
        <v>0.6</v>
      </c>
      <c r="E9" s="185" t="s">
        <v>81</v>
      </c>
      <c r="F9" s="186">
        <v>0.6</v>
      </c>
      <c r="G9" s="187" t="s">
        <v>81</v>
      </c>
      <c r="H9" s="188">
        <v>3000</v>
      </c>
      <c r="I9" s="187">
        <v>8000</v>
      </c>
      <c r="J9" s="188">
        <v>0</v>
      </c>
      <c r="K9" s="189">
        <v>5</v>
      </c>
      <c r="L9" s="188">
        <v>0</v>
      </c>
      <c r="M9" s="188">
        <v>200</v>
      </c>
      <c r="N9" s="188">
        <v>0</v>
      </c>
      <c r="O9" s="187">
        <v>10</v>
      </c>
    </row>
    <row r="10" spans="2:15" x14ac:dyDescent="0.2">
      <c r="B10" s="12"/>
      <c r="C10" s="12"/>
      <c r="D10" s="94"/>
      <c r="E10" s="94"/>
      <c r="F10" s="94"/>
      <c r="G10" s="94"/>
      <c r="H10" s="109"/>
      <c r="I10" s="109"/>
      <c r="J10" s="179"/>
      <c r="K10" s="179"/>
      <c r="L10" s="179"/>
      <c r="M10" s="179"/>
      <c r="N10" s="179"/>
      <c r="O10" s="179"/>
    </row>
    <row r="11" spans="2:15" x14ac:dyDescent="0.2">
      <c r="B11" s="10" t="s">
        <v>103</v>
      </c>
      <c r="C11" s="95" t="s">
        <v>98</v>
      </c>
      <c r="D11" s="93"/>
      <c r="E11" s="93"/>
      <c r="F11" s="93"/>
      <c r="G11" s="93"/>
      <c r="H11" s="177"/>
      <c r="I11" s="177"/>
      <c r="J11" s="177"/>
      <c r="K11" s="177"/>
      <c r="L11" s="177"/>
      <c r="M11" s="177"/>
      <c r="N11" s="177"/>
      <c r="O11" s="177"/>
    </row>
    <row r="12" spans="2:15" x14ac:dyDescent="0.2">
      <c r="B12" s="12" t="s">
        <v>104</v>
      </c>
      <c r="C12" s="71" t="s">
        <v>179</v>
      </c>
      <c r="D12" s="185">
        <v>0.8</v>
      </c>
      <c r="E12" s="185" t="s">
        <v>81</v>
      </c>
      <c r="F12" s="186">
        <v>0.6</v>
      </c>
      <c r="G12" s="187" t="s">
        <v>81</v>
      </c>
      <c r="H12" s="188">
        <v>3000</v>
      </c>
      <c r="I12" s="187">
        <v>8000</v>
      </c>
      <c r="J12" s="188">
        <v>0</v>
      </c>
      <c r="K12" s="189">
        <v>13</v>
      </c>
      <c r="L12" s="187">
        <v>0</v>
      </c>
      <c r="M12" s="188">
        <v>420</v>
      </c>
      <c r="N12" s="188">
        <v>0</v>
      </c>
      <c r="O12" s="187">
        <v>18</v>
      </c>
    </row>
    <row r="13" spans="2:15" x14ac:dyDescent="0.2">
      <c r="B13" s="12" t="s">
        <v>105</v>
      </c>
      <c r="C13" s="71" t="s">
        <v>180</v>
      </c>
      <c r="D13" s="185">
        <v>0.8</v>
      </c>
      <c r="E13" s="185" t="s">
        <v>81</v>
      </c>
      <c r="F13" s="186">
        <v>0.6</v>
      </c>
      <c r="G13" s="187" t="s">
        <v>81</v>
      </c>
      <c r="H13" s="188">
        <v>3000</v>
      </c>
      <c r="I13" s="187">
        <v>8000</v>
      </c>
      <c r="J13" s="188">
        <v>0</v>
      </c>
      <c r="K13" s="189">
        <v>9</v>
      </c>
      <c r="L13" s="187">
        <v>0</v>
      </c>
      <c r="M13" s="188">
        <v>370</v>
      </c>
      <c r="N13" s="188">
        <v>0</v>
      </c>
      <c r="O13" s="187">
        <v>13</v>
      </c>
    </row>
    <row r="14" spans="2:15" x14ac:dyDescent="0.2">
      <c r="B14" s="12" t="s">
        <v>106</v>
      </c>
      <c r="C14" s="71" t="s">
        <v>181</v>
      </c>
      <c r="D14" s="185">
        <v>0.8</v>
      </c>
      <c r="E14" s="185" t="s">
        <v>81</v>
      </c>
      <c r="F14" s="186">
        <v>0.6</v>
      </c>
      <c r="G14" s="187" t="s">
        <v>81</v>
      </c>
      <c r="H14" s="188">
        <v>3000</v>
      </c>
      <c r="I14" s="187">
        <v>8000</v>
      </c>
      <c r="J14" s="188">
        <v>0</v>
      </c>
      <c r="K14" s="189">
        <v>8</v>
      </c>
      <c r="L14" s="187">
        <v>0</v>
      </c>
      <c r="M14" s="188">
        <v>270</v>
      </c>
      <c r="N14" s="188">
        <v>0</v>
      </c>
      <c r="O14" s="187">
        <v>13</v>
      </c>
    </row>
    <row r="15" spans="2:15" x14ac:dyDescent="0.2">
      <c r="B15" s="75" t="s">
        <v>182</v>
      </c>
      <c r="C15" s="71" t="s">
        <v>97</v>
      </c>
      <c r="D15" s="185">
        <v>0.6</v>
      </c>
      <c r="E15" s="185" t="s">
        <v>81</v>
      </c>
      <c r="F15" s="186">
        <v>0.6</v>
      </c>
      <c r="G15" s="187" t="s">
        <v>81</v>
      </c>
      <c r="H15" s="188">
        <v>3000</v>
      </c>
      <c r="I15" s="187">
        <v>8000</v>
      </c>
      <c r="J15" s="188">
        <v>0</v>
      </c>
      <c r="K15" s="189">
        <v>7</v>
      </c>
      <c r="L15" s="187">
        <v>0</v>
      </c>
      <c r="M15" s="188">
        <v>220</v>
      </c>
      <c r="N15" s="188">
        <v>0</v>
      </c>
      <c r="O15" s="187">
        <v>13</v>
      </c>
    </row>
    <row r="16" spans="2:15" x14ac:dyDescent="0.2">
      <c r="B16" s="12"/>
      <c r="D16" s="94"/>
      <c r="E16" s="94"/>
      <c r="F16" s="94"/>
      <c r="G16" s="94"/>
      <c r="H16" s="94"/>
      <c r="I16" s="94"/>
      <c r="J16" s="94"/>
      <c r="K16" s="86"/>
      <c r="L16" s="94"/>
      <c r="M16" s="86"/>
      <c r="N16" s="94"/>
      <c r="O16" s="86"/>
    </row>
    <row r="19" spans="2:16" x14ac:dyDescent="0.2">
      <c r="B19" s="80" t="s">
        <v>200</v>
      </c>
    </row>
    <row r="20" spans="2:16" ht="48.75" customHeight="1" x14ac:dyDescent="0.2">
      <c r="B20" s="110"/>
      <c r="C20" s="247" t="s">
        <v>201</v>
      </c>
      <c r="D20" s="247" t="s">
        <v>183</v>
      </c>
      <c r="E20" s="247"/>
      <c r="F20" s="247" t="s">
        <v>184</v>
      </c>
      <c r="G20" s="247"/>
      <c r="H20" s="247" t="s">
        <v>185</v>
      </c>
      <c r="I20" s="247"/>
    </row>
    <row r="21" spans="2:16" ht="30" customHeight="1" x14ac:dyDescent="0.2">
      <c r="B21" s="7"/>
      <c r="C21" s="247"/>
      <c r="D21" s="100" t="s">
        <v>107</v>
      </c>
      <c r="E21" s="100" t="s">
        <v>108</v>
      </c>
      <c r="F21" s="100" t="s">
        <v>107</v>
      </c>
      <c r="G21" s="100" t="s">
        <v>108</v>
      </c>
      <c r="H21" s="100" t="s">
        <v>107</v>
      </c>
      <c r="I21" s="100" t="s">
        <v>108</v>
      </c>
    </row>
    <row r="22" spans="2:16" x14ac:dyDescent="0.2">
      <c r="B22" s="102">
        <v>1</v>
      </c>
      <c r="C22" s="95" t="s">
        <v>96</v>
      </c>
      <c r="D22" s="93"/>
      <c r="E22" s="93"/>
      <c r="F22" s="93"/>
      <c r="G22" s="74"/>
      <c r="H22" s="74"/>
      <c r="I22" s="74"/>
      <c r="L22" s="104"/>
      <c r="M22" s="104"/>
      <c r="N22" s="104"/>
      <c r="O22" s="104"/>
      <c r="P22" s="104"/>
    </row>
    <row r="23" spans="2:16" x14ac:dyDescent="0.2">
      <c r="B23" s="75" t="s">
        <v>99</v>
      </c>
      <c r="C23" s="71" t="s">
        <v>179</v>
      </c>
      <c r="D23" s="187"/>
      <c r="E23" s="190">
        <v>12</v>
      </c>
      <c r="F23" s="190"/>
      <c r="G23" s="190">
        <v>50</v>
      </c>
      <c r="H23" s="190"/>
      <c r="I23" s="190">
        <v>5</v>
      </c>
      <c r="L23" s="104"/>
      <c r="M23" s="104"/>
      <c r="N23" s="104"/>
      <c r="O23" s="104"/>
      <c r="P23" s="104"/>
    </row>
    <row r="24" spans="2:16" x14ac:dyDescent="0.2">
      <c r="B24" s="75" t="s">
        <v>100</v>
      </c>
      <c r="C24" s="71" t="s">
        <v>180</v>
      </c>
      <c r="D24" s="187"/>
      <c r="E24" s="190">
        <v>12</v>
      </c>
      <c r="F24" s="190"/>
      <c r="G24" s="190">
        <v>50</v>
      </c>
      <c r="H24" s="190"/>
      <c r="I24" s="190">
        <v>5</v>
      </c>
      <c r="L24" s="104"/>
      <c r="M24" s="104"/>
      <c r="N24" s="104"/>
      <c r="O24" s="104"/>
      <c r="P24" s="104"/>
    </row>
    <row r="25" spans="2:16" x14ac:dyDescent="0.2">
      <c r="B25" s="75" t="s">
        <v>101</v>
      </c>
      <c r="C25" s="71" t="s">
        <v>181</v>
      </c>
      <c r="D25" s="190"/>
      <c r="E25" s="190">
        <v>12</v>
      </c>
      <c r="F25" s="190"/>
      <c r="G25" s="190">
        <v>50</v>
      </c>
      <c r="H25" s="190"/>
      <c r="I25" s="190">
        <v>5</v>
      </c>
      <c r="L25" s="104"/>
      <c r="M25" s="104"/>
      <c r="N25" s="104"/>
      <c r="O25" s="104"/>
      <c r="P25" s="104"/>
    </row>
    <row r="26" spans="2:16" x14ac:dyDescent="0.2">
      <c r="B26" s="75" t="s">
        <v>102</v>
      </c>
      <c r="C26" s="71" t="s">
        <v>97</v>
      </c>
      <c r="D26" s="190"/>
      <c r="E26" s="190">
        <v>12</v>
      </c>
      <c r="F26" s="190"/>
      <c r="G26" s="190">
        <v>50</v>
      </c>
      <c r="H26" s="190"/>
      <c r="I26" s="190">
        <v>5</v>
      </c>
      <c r="L26" s="104"/>
      <c r="M26" s="104"/>
      <c r="N26" s="104"/>
      <c r="O26" s="104"/>
      <c r="P26" s="104"/>
    </row>
    <row r="27" spans="2:16" x14ac:dyDescent="0.2">
      <c r="B27" s="75"/>
      <c r="C27" s="75"/>
      <c r="L27" s="104"/>
      <c r="M27" s="104"/>
      <c r="N27" s="104"/>
      <c r="O27" s="104"/>
      <c r="P27" s="104"/>
    </row>
    <row r="28" spans="2:16" x14ac:dyDescent="0.2">
      <c r="B28" s="102" t="s">
        <v>103</v>
      </c>
      <c r="C28" s="95" t="s">
        <v>98</v>
      </c>
      <c r="D28" s="93"/>
      <c r="E28" s="93"/>
      <c r="F28" s="93"/>
      <c r="G28" s="74"/>
      <c r="H28" s="74"/>
      <c r="I28" s="74"/>
      <c r="L28" s="104"/>
      <c r="M28" s="104"/>
      <c r="N28" s="104"/>
      <c r="O28" s="104"/>
      <c r="P28" s="104"/>
    </row>
    <row r="29" spans="2:16" x14ac:dyDescent="0.2">
      <c r="B29" s="75" t="s">
        <v>104</v>
      </c>
      <c r="C29" s="71" t="s">
        <v>179</v>
      </c>
      <c r="D29" s="187"/>
      <c r="E29" s="190">
        <v>1300</v>
      </c>
      <c r="F29" s="190"/>
      <c r="G29" s="190">
        <v>400</v>
      </c>
      <c r="H29" s="190"/>
      <c r="I29" s="190">
        <v>100</v>
      </c>
      <c r="L29" s="104"/>
      <c r="M29" s="104"/>
      <c r="N29" s="104"/>
      <c r="O29" s="104"/>
      <c r="P29" s="104"/>
    </row>
    <row r="30" spans="2:16" x14ac:dyDescent="0.2">
      <c r="B30" s="75" t="s">
        <v>105</v>
      </c>
      <c r="C30" s="71" t="s">
        <v>180</v>
      </c>
      <c r="D30" s="187"/>
      <c r="E30" s="190">
        <v>400</v>
      </c>
      <c r="F30" s="190"/>
      <c r="G30" s="190">
        <v>300</v>
      </c>
      <c r="H30" s="190"/>
      <c r="I30" s="190">
        <v>20</v>
      </c>
    </row>
    <row r="31" spans="2:16" x14ac:dyDescent="0.2">
      <c r="B31" s="75" t="s">
        <v>106</v>
      </c>
      <c r="C31" s="71" t="s">
        <v>181</v>
      </c>
      <c r="D31" s="187"/>
      <c r="E31" s="190">
        <v>200</v>
      </c>
      <c r="F31" s="190"/>
      <c r="G31" s="190">
        <v>200</v>
      </c>
      <c r="H31" s="190"/>
      <c r="I31" s="190">
        <v>20</v>
      </c>
    </row>
    <row r="32" spans="2:16" x14ac:dyDescent="0.2">
      <c r="B32" s="75" t="s">
        <v>182</v>
      </c>
      <c r="C32" s="71" t="s">
        <v>97</v>
      </c>
      <c r="D32" s="187"/>
      <c r="E32" s="190">
        <v>150</v>
      </c>
      <c r="F32" s="190"/>
      <c r="G32" s="190">
        <v>150</v>
      </c>
      <c r="H32" s="190"/>
      <c r="I32" s="190">
        <v>10</v>
      </c>
    </row>
  </sheetData>
  <customSheetViews>
    <customSheetView guid="{C75A5F74-EB46-4EC1-8574-01D849F3C8D4}" scale="80" showGridLines="0">
      <selection activeCell="K7" sqref="K7"/>
    </customSheetView>
    <customSheetView guid="{60DF9BBC-D692-423C-89AD-8A976478AE41}" scale="80" showGridLines="0">
      <selection activeCell="K7" sqref="K7"/>
      <pageMargins left="0.7" right="0.7" top="0.75" bottom="0.75" header="0.3" footer="0.3"/>
      <pageSetup paperSize="9" orientation="portrait" r:id="rId1"/>
    </customSheetView>
  </customSheetViews>
  <mergeCells count="11">
    <mergeCell ref="N3:O3"/>
    <mergeCell ref="L3:M3"/>
    <mergeCell ref="J3:K3"/>
    <mergeCell ref="H3:I3"/>
    <mergeCell ref="F3:G3"/>
    <mergeCell ref="C20:C21"/>
    <mergeCell ref="C3:C4"/>
    <mergeCell ref="D20:E20"/>
    <mergeCell ref="F20:G20"/>
    <mergeCell ref="H20:I20"/>
    <mergeCell ref="D3:E3"/>
  </mergeCell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40"/>
  <sheetViews>
    <sheetView showGridLines="0" tabSelected="1" zoomScale="80" zoomScaleNormal="80" workbookViewId="0">
      <selection activeCell="K46" sqref="K46"/>
    </sheetView>
  </sheetViews>
  <sheetFormatPr defaultRowHeight="12.75" x14ac:dyDescent="0.2"/>
  <cols>
    <col min="1" max="1" width="3.7109375" style="9" customWidth="1"/>
    <col min="2" max="2" width="54.7109375" style="9" customWidth="1"/>
    <col min="3" max="3" width="9.140625" style="9"/>
    <col min="4" max="4" width="12.5703125" style="68" customWidth="1"/>
    <col min="5" max="16384" width="9.140625" style="9"/>
  </cols>
  <sheetData>
    <row r="2" spans="2:9" x14ac:dyDescent="0.2">
      <c r="B2" s="87" t="s">
        <v>127</v>
      </c>
      <c r="C2" s="46"/>
      <c r="D2" s="56"/>
    </row>
    <row r="3" spans="2:9" x14ac:dyDescent="0.2">
      <c r="B3" s="88"/>
      <c r="C3" s="47"/>
      <c r="D3" s="57"/>
    </row>
    <row r="4" spans="2:9" x14ac:dyDescent="0.2">
      <c r="B4" s="89" t="s">
        <v>128</v>
      </c>
      <c r="C4" s="48"/>
      <c r="D4" s="58"/>
      <c r="H4" s="104"/>
      <c r="I4" s="104"/>
    </row>
    <row r="5" spans="2:9" x14ac:dyDescent="0.2">
      <c r="B5" s="90" t="s">
        <v>129</v>
      </c>
      <c r="C5" s="49"/>
      <c r="D5" s="168">
        <v>0.8</v>
      </c>
      <c r="H5" s="104"/>
      <c r="I5" s="104"/>
    </row>
    <row r="6" spans="2:9" x14ac:dyDescent="0.2">
      <c r="B6" s="90" t="s">
        <v>130</v>
      </c>
      <c r="C6" s="48"/>
      <c r="D6" s="59">
        <f>D9/D8</f>
        <v>0.85185185185185186</v>
      </c>
      <c r="H6" s="104"/>
      <c r="I6" s="104"/>
    </row>
    <row r="7" spans="2:9" x14ac:dyDescent="0.2">
      <c r="B7" s="90" t="s">
        <v>131</v>
      </c>
      <c r="C7" s="49"/>
      <c r="D7" s="57"/>
      <c r="H7" s="104"/>
      <c r="I7" s="104"/>
    </row>
    <row r="8" spans="2:9" x14ac:dyDescent="0.2">
      <c r="B8" s="92" t="s">
        <v>132</v>
      </c>
      <c r="C8" s="49"/>
      <c r="D8" s="59">
        <v>0.54</v>
      </c>
      <c r="H8" s="104"/>
      <c r="I8" s="104"/>
    </row>
    <row r="9" spans="2:9" x14ac:dyDescent="0.2">
      <c r="B9" s="92" t="s">
        <v>133</v>
      </c>
      <c r="C9" s="49"/>
      <c r="D9" s="169">
        <v>0.46</v>
      </c>
      <c r="H9" s="104"/>
      <c r="I9" s="104"/>
    </row>
    <row r="10" spans="2:9" x14ac:dyDescent="0.2">
      <c r="B10" s="90" t="s">
        <v>152</v>
      </c>
      <c r="C10" s="48"/>
      <c r="D10" s="169">
        <v>0.19</v>
      </c>
      <c r="H10" s="104"/>
      <c r="I10" s="104"/>
    </row>
    <row r="11" spans="2:9" x14ac:dyDescent="0.2">
      <c r="B11" s="89" t="s">
        <v>134</v>
      </c>
      <c r="C11" s="50"/>
      <c r="D11" s="51">
        <f>D5*((1+D6))</f>
        <v>1.4814814814814816</v>
      </c>
      <c r="H11" s="104"/>
      <c r="I11" s="104"/>
    </row>
    <row r="12" spans="2:9" x14ac:dyDescent="0.2">
      <c r="B12" s="91" t="s">
        <v>135</v>
      </c>
      <c r="C12" s="48"/>
      <c r="D12" s="60"/>
      <c r="H12" s="104"/>
      <c r="I12" s="104"/>
    </row>
    <row r="13" spans="2:9" x14ac:dyDescent="0.2">
      <c r="B13" s="88"/>
      <c r="C13" s="47"/>
      <c r="D13" s="57"/>
      <c r="H13" s="104"/>
      <c r="I13" s="104"/>
    </row>
    <row r="14" spans="2:9" x14ac:dyDescent="0.2">
      <c r="B14" s="89" t="s">
        <v>127</v>
      </c>
      <c r="C14" s="48"/>
      <c r="D14" s="57"/>
      <c r="H14" s="104"/>
      <c r="I14" s="104"/>
    </row>
    <row r="15" spans="2:9" x14ac:dyDescent="0.2">
      <c r="B15" s="90" t="s">
        <v>136</v>
      </c>
      <c r="C15" s="48"/>
      <c r="D15" s="169">
        <v>3.3029999999999997E-2</v>
      </c>
      <c r="H15" s="104"/>
      <c r="I15" s="104"/>
    </row>
    <row r="16" spans="2:9" x14ac:dyDescent="0.2">
      <c r="B16" s="90" t="s">
        <v>137</v>
      </c>
      <c r="C16" s="49"/>
      <c r="D16" s="61">
        <f>D11</f>
        <v>1.4814814814814816</v>
      </c>
      <c r="H16" s="104"/>
      <c r="I16" s="104"/>
    </row>
    <row r="17" spans="2:9" x14ac:dyDescent="0.2">
      <c r="B17" s="90" t="s">
        <v>138</v>
      </c>
      <c r="C17" s="49"/>
      <c r="D17" s="169">
        <v>5.577E-2</v>
      </c>
      <c r="H17" s="104"/>
      <c r="I17" s="104"/>
    </row>
    <row r="18" spans="2:9" x14ac:dyDescent="0.2">
      <c r="B18" s="90" t="s">
        <v>139</v>
      </c>
      <c r="C18" s="49"/>
      <c r="D18" s="169">
        <v>0</v>
      </c>
      <c r="H18" s="104"/>
      <c r="I18" s="104"/>
    </row>
    <row r="19" spans="2:9" x14ac:dyDescent="0.2">
      <c r="B19" s="88"/>
      <c r="C19" s="47"/>
      <c r="D19" s="57"/>
      <c r="H19" s="104"/>
      <c r="I19" s="104"/>
    </row>
    <row r="20" spans="2:9" x14ac:dyDescent="0.2">
      <c r="B20" s="89" t="s">
        <v>140</v>
      </c>
      <c r="C20" s="53"/>
      <c r="D20" s="62">
        <f>D15+D16*D17+D18</f>
        <v>0.11565222222222224</v>
      </c>
      <c r="H20" s="104"/>
      <c r="I20" s="104"/>
    </row>
    <row r="21" spans="2:9" x14ac:dyDescent="0.2">
      <c r="B21" s="89" t="s">
        <v>150</v>
      </c>
      <c r="C21" s="53"/>
      <c r="D21" s="62">
        <f>D20/0.81</f>
        <v>0.14278052126200275</v>
      </c>
      <c r="H21" s="104"/>
      <c r="I21" s="104"/>
    </row>
    <row r="22" spans="2:9" x14ac:dyDescent="0.2">
      <c r="B22" s="91" t="s">
        <v>83</v>
      </c>
      <c r="C22" s="48"/>
      <c r="D22" s="60"/>
      <c r="H22" s="104"/>
      <c r="I22" s="104"/>
    </row>
    <row r="23" spans="2:9" x14ac:dyDescent="0.2">
      <c r="B23" s="88"/>
      <c r="C23" s="47"/>
      <c r="D23" s="57"/>
    </row>
    <row r="24" spans="2:9" x14ac:dyDescent="0.2">
      <c r="B24" s="87" t="s">
        <v>149</v>
      </c>
      <c r="C24" s="46"/>
      <c r="D24" s="56"/>
    </row>
    <row r="25" spans="2:9" x14ac:dyDescent="0.2">
      <c r="B25" s="88"/>
      <c r="C25" s="47"/>
      <c r="D25" s="57"/>
    </row>
    <row r="26" spans="2:9" x14ac:dyDescent="0.2">
      <c r="B26" s="90" t="s">
        <v>136</v>
      </c>
      <c r="C26" s="49"/>
      <c r="D26" s="59">
        <f>D15</f>
        <v>3.3029999999999997E-2</v>
      </c>
    </row>
    <row r="27" spans="2:9" x14ac:dyDescent="0.2">
      <c r="B27" s="90" t="s">
        <v>141</v>
      </c>
      <c r="C27" s="49"/>
      <c r="D27" s="169">
        <v>1.6500000000000001E-2</v>
      </c>
    </row>
    <row r="28" spans="2:9" x14ac:dyDescent="0.2">
      <c r="B28" s="89" t="s">
        <v>142</v>
      </c>
      <c r="C28" s="48"/>
      <c r="D28" s="62">
        <f>D26+D27</f>
        <v>4.9529999999999998E-2</v>
      </c>
    </row>
    <row r="29" spans="2:9" x14ac:dyDescent="0.2">
      <c r="B29" s="89" t="s">
        <v>143</v>
      </c>
      <c r="C29" s="54"/>
      <c r="D29" s="62">
        <f>D28*(1-D10)</f>
        <v>4.0119300000000004E-2</v>
      </c>
    </row>
    <row r="30" spans="2:9" x14ac:dyDescent="0.2">
      <c r="B30" s="91" t="s">
        <v>151</v>
      </c>
      <c r="C30" s="52"/>
      <c r="D30" s="63"/>
    </row>
    <row r="31" spans="2:9" x14ac:dyDescent="0.2">
      <c r="B31" s="88"/>
      <c r="C31" s="47"/>
      <c r="D31" s="64"/>
    </row>
    <row r="32" spans="2:9" x14ac:dyDescent="0.2">
      <c r="B32" s="89" t="s">
        <v>144</v>
      </c>
      <c r="C32" s="48"/>
      <c r="D32" s="65">
        <f>D20/(1-D10)*D8+D28*D9</f>
        <v>9.9885281481481486E-2</v>
      </c>
    </row>
    <row r="33" spans="2:4" x14ac:dyDescent="0.2">
      <c r="B33" s="91" t="s">
        <v>85</v>
      </c>
      <c r="C33" s="55"/>
      <c r="D33" s="66"/>
    </row>
    <row r="34" spans="2:4" x14ac:dyDescent="0.2">
      <c r="B34" s="89" t="s">
        <v>145</v>
      </c>
      <c r="C34" s="48"/>
      <c r="D34" s="65">
        <f>D20*D8+D29*D9</f>
        <v>8.0907078000000021E-2</v>
      </c>
    </row>
    <row r="35" spans="2:4" x14ac:dyDescent="0.2">
      <c r="B35" s="91" t="s">
        <v>86</v>
      </c>
      <c r="C35" s="55"/>
      <c r="D35" s="66"/>
    </row>
    <row r="36" spans="2:4" x14ac:dyDescent="0.2">
      <c r="B36" s="91"/>
      <c r="C36" s="52"/>
      <c r="D36" s="63"/>
    </row>
    <row r="37" spans="2:4" x14ac:dyDescent="0.2">
      <c r="B37" s="90" t="s">
        <v>146</v>
      </c>
      <c r="C37" s="49"/>
      <c r="D37" s="169">
        <v>2.5000000000000001E-2</v>
      </c>
    </row>
    <row r="38" spans="2:4" x14ac:dyDescent="0.2">
      <c r="B38" s="96" t="s">
        <v>147</v>
      </c>
      <c r="C38" s="97"/>
      <c r="D38" s="98">
        <v>7.3058811201445417E-2</v>
      </c>
    </row>
    <row r="39" spans="2:4" x14ac:dyDescent="0.2">
      <c r="B39" s="89" t="s">
        <v>227</v>
      </c>
      <c r="C39" s="72"/>
      <c r="D39" s="73">
        <f>(1+D34)/(1+D37)-1</f>
        <v>5.45434907317075E-2</v>
      </c>
    </row>
    <row r="40" spans="2:4" x14ac:dyDescent="0.2">
      <c r="B40" s="90" t="s">
        <v>84</v>
      </c>
      <c r="C40" s="49"/>
      <c r="D40" s="67"/>
    </row>
  </sheetData>
  <protectedRanges>
    <protectedRange password="9B51" sqref="H8:H11" name="Range2"/>
  </protectedRanges>
  <customSheetViews>
    <customSheetView guid="{C75A5F74-EB46-4EC1-8574-01D849F3C8D4}" scale="90" showGridLines="0" topLeftCell="B19">
      <selection activeCell="B56" sqref="B56"/>
    </customSheetView>
    <customSheetView guid="{60DF9BBC-D692-423C-89AD-8A976478AE41}" scale="90" showGridLines="0" topLeftCell="B19">
      <selection activeCell="B56" sqref="B5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</vt:lpstr>
      <vt:lpstr>Nakłady inwestycyjne</vt:lpstr>
      <vt:lpstr>Kalkulacja</vt:lpstr>
      <vt:lpstr>Dane referencyjne</vt:lpstr>
      <vt:lpstr>WACC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Krześniak</dc:creator>
  <cp:lastModifiedBy>Zawiska Marek</cp:lastModifiedBy>
  <cp:lastPrinted>2014-09-11T11:19:18Z</cp:lastPrinted>
  <dcterms:created xsi:type="dcterms:W3CDTF">2014-08-26T12:56:23Z</dcterms:created>
  <dcterms:modified xsi:type="dcterms:W3CDTF">2014-09-22T14:15:25Z</dcterms:modified>
</cp:coreProperties>
</file>